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GFW" sheetId="1" r:id="rId1"/>
    <sheet name="GFS" sheetId="2" r:id="rId2"/>
    <sheet name="GFN" sheetId="4" r:id="rId3"/>
  </sheets>
  <definedNames>
    <definedName name="_xlnm._FilterDatabase" localSheetId="2" hidden="1">GFN!$A$1:$D$1</definedName>
    <definedName name="_xlnm._FilterDatabase" localSheetId="1" hidden="1">GFS!$A$1:$D$108</definedName>
    <definedName name="_xlnm._FilterDatabase" localSheetId="0" hidden="1">GFW!$A$1:$P$1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2" l="1"/>
  <c r="D40" i="2" s="1"/>
  <c r="M63" i="1" l="1"/>
  <c r="M61" i="1"/>
  <c r="M55" i="1"/>
  <c r="M54" i="1"/>
  <c r="M47" i="1"/>
  <c r="M41" i="1"/>
  <c r="M38" i="1"/>
  <c r="M34" i="1"/>
  <c r="M30" i="1"/>
  <c r="M21" i="1"/>
  <c r="M18" i="1"/>
  <c r="M15" i="1"/>
  <c r="M14" i="1"/>
  <c r="M13" i="1"/>
  <c r="M11" i="1"/>
  <c r="M9" i="1"/>
  <c r="M6" i="1"/>
  <c r="M3" i="1"/>
  <c r="M2" i="1"/>
  <c r="M66" i="1" l="1"/>
  <c r="M65" i="1"/>
  <c r="D72" i="2"/>
  <c r="P53" i="2"/>
  <c r="D53" i="2" s="1"/>
  <c r="D137" i="2"/>
  <c r="P60" i="2"/>
  <c r="D60" i="2" s="1"/>
  <c r="P136" i="2"/>
  <c r="D136" i="2" s="1"/>
  <c r="P135" i="2"/>
  <c r="D31" i="2"/>
  <c r="P129" i="2"/>
  <c r="D129" i="2" s="1"/>
  <c r="P130" i="2"/>
  <c r="D130" i="2" s="1"/>
  <c r="D131" i="2"/>
  <c r="D132" i="2"/>
  <c r="D61" i="2"/>
  <c r="D134" i="2"/>
  <c r="D55" i="2"/>
  <c r="D135" i="2"/>
  <c r="P44" i="2"/>
  <c r="D44" i="2" s="1"/>
  <c r="K43" i="2"/>
  <c r="D43" i="2" s="1"/>
  <c r="K42" i="2"/>
  <c r="D42" i="2" s="1"/>
  <c r="P41" i="2"/>
  <c r="D41" i="2" s="1"/>
  <c r="P93" i="2"/>
  <c r="D93" i="2" s="1"/>
  <c r="D133" i="2"/>
  <c r="P128" i="2"/>
  <c r="D128" i="2" s="1"/>
  <c r="D113" i="2"/>
  <c r="P33" i="2"/>
  <c r="D33" i="2" s="1"/>
  <c r="D68" i="2"/>
  <c r="P67" i="2"/>
  <c r="P78" i="2"/>
  <c r="D77" i="2"/>
  <c r="D78" i="2"/>
  <c r="D67" i="2"/>
  <c r="D69" i="2"/>
  <c r="D70" i="2"/>
  <c r="P99" i="2"/>
  <c r="D99" i="2" s="1"/>
  <c r="D4" i="4"/>
  <c r="P126" i="2"/>
  <c r="D126" i="2" s="1"/>
  <c r="P110" i="2"/>
  <c r="D110" i="2" s="1"/>
  <c r="D89" i="2"/>
  <c r="D90" i="2"/>
  <c r="D91" i="2"/>
  <c r="D92" i="2"/>
  <c r="D32" i="2"/>
  <c r="D107" i="2"/>
  <c r="D34" i="2"/>
  <c r="D122" i="2"/>
  <c r="P119" i="2"/>
  <c r="P117" i="2"/>
  <c r="D117" i="2" s="1"/>
  <c r="D51" i="2"/>
  <c r="N50" i="2"/>
  <c r="D50" i="2" s="1"/>
  <c r="D109" i="2"/>
  <c r="D64" i="2"/>
  <c r="D103" i="2"/>
  <c r="P127" i="2"/>
  <c r="P26" i="2"/>
  <c r="D39" i="2"/>
  <c r="D38" i="2"/>
  <c r="D37" i="2"/>
  <c r="D100" i="2"/>
  <c r="D75" i="2"/>
  <c r="D105" i="2"/>
  <c r="D35" i="2"/>
  <c r="D36" i="2"/>
  <c r="P74" i="2"/>
  <c r="P120" i="2"/>
  <c r="P118" i="2" l="1"/>
  <c r="P124" i="2"/>
  <c r="P123" i="2"/>
  <c r="D123" i="2" s="1"/>
  <c r="G88" i="2"/>
  <c r="D118" i="2"/>
  <c r="P88" i="2"/>
  <c r="D87" i="2"/>
  <c r="P83" i="2"/>
  <c r="D86" i="2"/>
  <c r="D85" i="2"/>
  <c r="D84" i="2"/>
  <c r="D83" i="2"/>
  <c r="P82" i="2"/>
  <c r="D82" i="2" s="1"/>
  <c r="P66" i="2"/>
  <c r="D66" i="2" s="1"/>
  <c r="P65" i="2"/>
  <c r="D65" i="2" s="1"/>
  <c r="P101" i="2"/>
  <c r="D101" i="2" s="1"/>
  <c r="P27" i="2"/>
  <c r="P76" i="2"/>
  <c r="P98" i="2"/>
  <c r="D98" i="2" s="1"/>
  <c r="P97" i="2"/>
  <c r="D97" i="2" s="1"/>
  <c r="D96" i="2"/>
  <c r="D95" i="2"/>
  <c r="P115" i="2"/>
  <c r="D115" i="2" s="1"/>
  <c r="P114" i="2"/>
  <c r="D114" i="2" s="1"/>
  <c r="D52" i="2"/>
  <c r="P54" i="2"/>
  <c r="D54" i="2" s="1"/>
  <c r="D59" i="2"/>
  <c r="P58" i="2"/>
  <c r="D58" i="2" s="1"/>
  <c r="P57" i="2"/>
  <c r="D57" i="2" s="1"/>
  <c r="P121" i="2"/>
  <c r="D121" i="2" s="1"/>
  <c r="P112" i="2"/>
  <c r="D112" i="2" s="1"/>
  <c r="P111" i="2"/>
  <c r="D111" i="2" s="1"/>
  <c r="K25" i="2"/>
  <c r="D25" i="2" s="1"/>
  <c r="K24" i="2"/>
  <c r="D24" i="2" s="1"/>
  <c r="D23" i="2"/>
  <c r="P21" i="2"/>
  <c r="D21" i="2" s="1"/>
  <c r="P19" i="2"/>
  <c r="D19" i="2" s="1"/>
  <c r="D22" i="2"/>
  <c r="D20" i="2"/>
  <c r="D18" i="2"/>
  <c r="D17" i="2"/>
  <c r="D16" i="2"/>
  <c r="D15" i="2"/>
  <c r="P13" i="2"/>
  <c r="D14" i="2"/>
  <c r="D13" i="2"/>
  <c r="D12" i="2"/>
  <c r="D11" i="2"/>
  <c r="P9" i="2"/>
  <c r="D9" i="2" s="1"/>
  <c r="P3" i="2"/>
  <c r="D3" i="2" s="1"/>
  <c r="D108" i="2"/>
  <c r="D56" i="2"/>
  <c r="D29" i="2"/>
  <c r="D30" i="2"/>
  <c r="D94" i="2"/>
  <c r="D76" i="2"/>
  <c r="D27" i="2"/>
  <c r="D124" i="2"/>
  <c r="D125" i="2"/>
  <c r="D120" i="2"/>
  <c r="D74" i="2"/>
  <c r="D106" i="2"/>
  <c r="D26" i="2"/>
  <c r="D127" i="2"/>
  <c r="D102" i="2"/>
  <c r="D104" i="2"/>
  <c r="D62" i="2"/>
  <c r="D63" i="2"/>
  <c r="D45" i="2"/>
  <c r="D46" i="2"/>
  <c r="D47" i="2"/>
  <c r="D48" i="2"/>
  <c r="D49" i="2"/>
  <c r="D116" i="2"/>
  <c r="D81" i="2"/>
  <c r="D119" i="2"/>
  <c r="D28" i="2"/>
  <c r="D4" i="2"/>
  <c r="D5" i="2"/>
  <c r="D6" i="2"/>
  <c r="D7" i="2"/>
  <c r="D8" i="2"/>
  <c r="D10" i="2"/>
  <c r="D2" i="2"/>
  <c r="D3" i="4"/>
  <c r="D88" i="2" l="1"/>
  <c r="D2" i="4"/>
</calcChain>
</file>

<file path=xl/comments1.xml><?xml version="1.0" encoding="utf-8"?>
<comments xmlns="http://schemas.openxmlformats.org/spreadsheetml/2006/main">
  <authors>
    <author>Ravinesh Deo</author>
  </authors>
  <commentList>
    <comment ref="F53" authorId="0">
      <text>
        <r>
          <rPr>
            <b/>
            <sz val="9"/>
            <color indexed="81"/>
            <rFont val="Tahoma"/>
            <family val="2"/>
          </rPr>
          <t>Per flight charge</t>
        </r>
      </text>
    </comment>
    <comment ref="M53" authorId="0">
      <text>
        <r>
          <rPr>
            <b/>
            <sz val="9"/>
            <color indexed="81"/>
            <rFont val="Tahoma"/>
            <family val="2"/>
          </rPr>
          <t>No of flights</t>
        </r>
      </text>
    </comment>
  </commentList>
</comments>
</file>

<file path=xl/sharedStrings.xml><?xml version="1.0" encoding="utf-8"?>
<sst xmlns="http://schemas.openxmlformats.org/spreadsheetml/2006/main" count="547" uniqueCount="263">
  <si>
    <t>Customer
Number</t>
  </si>
  <si>
    <t>Customer Names</t>
  </si>
  <si>
    <t>In
Contract
(Y / N)</t>
  </si>
  <si>
    <t>Date of
Last
Increase</t>
  </si>
  <si>
    <t>Contracted
Guard
Rate</t>
  </si>
  <si>
    <t>Ad Hoc
Guard
Rate</t>
  </si>
  <si>
    <t>Alarm
Response
Rate</t>
  </si>
  <si>
    <t>Previous Contracted Guard Rate</t>
  </si>
  <si>
    <t>Revenue
Sep 18</t>
  </si>
  <si>
    <t>Carpenters Shipping</t>
  </si>
  <si>
    <t>Hours</t>
  </si>
  <si>
    <t>Air Terminal Services (3 Posts - Catering, Bond &amp; Main Entrance)</t>
  </si>
  <si>
    <t>Air Caledonia</t>
  </si>
  <si>
    <t>Air Niugini Airlines</t>
  </si>
  <si>
    <t>Air New Zealand</t>
  </si>
  <si>
    <t>Bounty Restaurant</t>
  </si>
  <si>
    <t>CCCC First Harbor Consultants Co. Ltd</t>
  </si>
  <si>
    <t>Cathay Hotel</t>
  </si>
  <si>
    <t>Denarau Gold &amp; Racket Club (DGRC)</t>
  </si>
  <si>
    <t>Fiji Gas (Lautoka and Sigatoka)</t>
  </si>
  <si>
    <t>Fiji Link</t>
  </si>
  <si>
    <t>Five Star Foods Fiji Ltd</t>
  </si>
  <si>
    <t>Goodman Fielder International Fiji</t>
  </si>
  <si>
    <t>Higgins (Nadi Deport &amp; Ba)</t>
  </si>
  <si>
    <t>Jetstar Airways PTY Limited</t>
  </si>
  <si>
    <t>Korean Air</t>
  </si>
  <si>
    <t>Luxury Pools</t>
  </si>
  <si>
    <t>Likuliku Lagoon Resort</t>
  </si>
  <si>
    <t>Malolo Is Resort</t>
  </si>
  <si>
    <t>Musket Cove Resort Ltd (8 hrs shift)</t>
  </si>
  <si>
    <t>Musket Cove Resort Ltd (12 hrs shift - excl meals)</t>
  </si>
  <si>
    <t>Makan Drugs</t>
  </si>
  <si>
    <t>Mana Island Resort (Resort &amp; Loading</t>
  </si>
  <si>
    <t>Mobil Oil Ltd - Malau</t>
  </si>
  <si>
    <t>Mobile Check Rate</t>
  </si>
  <si>
    <t>No of Checks</t>
  </si>
  <si>
    <t>Mobil Oil Ltd - Lautoka &amp; Vuda Terminal</t>
  </si>
  <si>
    <t>MacDonalds - Vuda Residence</t>
  </si>
  <si>
    <t>Mamas Holding Ltd (Nadi &amp; Namaka)</t>
  </si>
  <si>
    <t>Motiram &amp; Company</t>
  </si>
  <si>
    <t>Nadi Sports Club</t>
  </si>
  <si>
    <t>Natural Waters of Vitilevu Ltd</t>
  </si>
  <si>
    <t>Tropik Woods Industry Ltd</t>
  </si>
  <si>
    <t>The Terraces</t>
  </si>
  <si>
    <t>The Westin Denarau Island Resort &amp; Spa</t>
  </si>
  <si>
    <t>Tubakula Bungalows</t>
  </si>
  <si>
    <t>Naisoso Island - guard post</t>
  </si>
  <si>
    <t>Naisoso Island - mariner officer</t>
  </si>
  <si>
    <t>Naisoso Island - vehicle patrol</t>
  </si>
  <si>
    <t>Novotel Nadi</t>
  </si>
  <si>
    <t>Nadi Bay Hotel</t>
  </si>
  <si>
    <t>Saweni Beach Apartments</t>
  </si>
  <si>
    <t>Smugglers Cove Resort &amp; Hotel</t>
  </si>
  <si>
    <t>Sonaisali Is Resort (Tadrai)</t>
  </si>
  <si>
    <t>Pacific Energy (8 hour shift)</t>
  </si>
  <si>
    <t>Pacific Energy (12 hour shift)</t>
  </si>
  <si>
    <t>Pacific Destinationz</t>
  </si>
  <si>
    <t>Virgin Australia Airlines (</t>
  </si>
  <si>
    <t>Westpac Banking Corporation - Airport Branch/Escorts</t>
  </si>
  <si>
    <t>Fiji Airways Aircaraft Duties</t>
  </si>
  <si>
    <t>Fiji Airways TSA - North bound</t>
  </si>
  <si>
    <t>Fiji Airways Training Centre</t>
  </si>
  <si>
    <t>Fiji Airways Sales Office</t>
  </si>
  <si>
    <t>Fiji Airways Dry Goods</t>
  </si>
  <si>
    <t>Fiji Airways Catering Centre</t>
  </si>
  <si>
    <t>Fiji Airways Hangar Floor</t>
  </si>
  <si>
    <t>Fiji Airways Supervisor &amp; Control Post</t>
  </si>
  <si>
    <t>Corporate Freight Service Fiji Ltd</t>
  </si>
  <si>
    <t>DHL Express</t>
  </si>
  <si>
    <t>Denarau Residential Estates Ltd</t>
  </si>
  <si>
    <t>Denarau Corporation Ltd</t>
  </si>
  <si>
    <t>Mecure Hotel (8hr shift)</t>
  </si>
  <si>
    <t>Mecure Hotel (12hr shift)</t>
  </si>
  <si>
    <t>Tropik Woods Industry Ltd - chip yard</t>
  </si>
  <si>
    <t>Willam &amp; Gosling</t>
  </si>
  <si>
    <t>Wheel Clamp Rate</t>
  </si>
  <si>
    <t>Wheel Clamp #</t>
  </si>
  <si>
    <t>Ops Mgr - Responsbile</t>
  </si>
  <si>
    <t>Joelele</t>
  </si>
  <si>
    <t>Nisha</t>
  </si>
  <si>
    <t>Asaf</t>
  </si>
  <si>
    <t>Duta</t>
  </si>
  <si>
    <t>Statutory Wage
Rate</t>
  </si>
  <si>
    <t>COLA Increase</t>
  </si>
  <si>
    <t>Non soliciation of guards</t>
  </si>
  <si>
    <t>End Date</t>
  </si>
  <si>
    <t>Abhinesh</t>
  </si>
  <si>
    <t>ANZ Pacific Operations</t>
  </si>
  <si>
    <t>ADB 24 Verata Street Suva (12hr shift)</t>
  </si>
  <si>
    <t>ADB 10 Duncan (8hr shift)</t>
  </si>
  <si>
    <t>ADB 40 Beach Road (12hr shift)</t>
  </si>
  <si>
    <t>ADB 10 Adi Davila (8hr shift)</t>
  </si>
  <si>
    <t>AHC - Site Supervisor</t>
  </si>
  <si>
    <t>AHC - Guard</t>
  </si>
  <si>
    <t>AHC R - 52 Muaicolo Road</t>
  </si>
  <si>
    <t>AHC R - 45 Navurevure</t>
  </si>
  <si>
    <t>AHC R - 33 Kavika Place</t>
  </si>
  <si>
    <t>AHC R - 203 Princess Road</t>
  </si>
  <si>
    <t>AHC R - 15 Kavika Place</t>
  </si>
  <si>
    <t>AHC R - 10 Marou</t>
  </si>
  <si>
    <t>AHC R - 261 Princess Road</t>
  </si>
  <si>
    <t>AHC R - 261A Princess Road</t>
  </si>
  <si>
    <t>AHC R - 57 Vunakece</t>
  </si>
  <si>
    <t>AHC R - 6 Davila Road</t>
  </si>
  <si>
    <t>AHC R - 23 Narain Place</t>
  </si>
  <si>
    <t>AHC R - 40 Mead Road</t>
  </si>
  <si>
    <t>AHC R - 22 Marou Road</t>
  </si>
  <si>
    <t>AHC R - 13 Crompton Place</t>
  </si>
  <si>
    <t>AHC R - 15 Vudi Place</t>
  </si>
  <si>
    <t>AHC Patrol Checks (4day/4night) 17 resi</t>
  </si>
  <si>
    <t>AHC Patrol Checks (4day)</t>
  </si>
  <si>
    <t>Embassay of the Republic of Indonesia</t>
  </si>
  <si>
    <t>UNPF 5 Denison Road</t>
  </si>
  <si>
    <t>UNDP Pacific Centre 10 Allardyce</t>
  </si>
  <si>
    <t>UNOCHA 27 Allardyce</t>
  </si>
  <si>
    <t>UNDP Pacific Centre 242 Ratu Sukuna Road</t>
  </si>
  <si>
    <t>UNDP Pacific Centre 32 Qomate Street</t>
  </si>
  <si>
    <t>UNDP 187 Princess Road</t>
  </si>
  <si>
    <t>UNDP Pacific Centre 67 Princess Road</t>
  </si>
  <si>
    <t>UNDP Pacific Centre 56 Richards Road</t>
  </si>
  <si>
    <t>UN Women 7 Vuvui Place</t>
  </si>
  <si>
    <t xml:space="preserve">UN Women 252 Ratu Sukuna </t>
  </si>
  <si>
    <t>IMF 3 Muanikau Road</t>
  </si>
  <si>
    <t>IMF 27 Kavika</t>
  </si>
  <si>
    <t>SPC Nabua Complex</t>
  </si>
  <si>
    <t>SPC Narere Complex Gate 1</t>
  </si>
  <si>
    <t>SPC Narere CEPAC Building</t>
  </si>
  <si>
    <t>SPC Lotus Building</t>
  </si>
  <si>
    <t>SPC Nabua Luke St</t>
  </si>
  <si>
    <t>WHO 6 McGowan Place</t>
  </si>
  <si>
    <t>China Railway First Group 16 Crompton Place</t>
  </si>
  <si>
    <t>RCL Service Ltd</t>
  </si>
  <si>
    <t>Cathay Pacific South Sea Hotel William Road</t>
  </si>
  <si>
    <t>Cathay Pacific 20 Narain Place</t>
  </si>
  <si>
    <t>NZ High Com - High Comm. Resi</t>
  </si>
  <si>
    <t>NZ High Com - 1 Marou</t>
  </si>
  <si>
    <t>NZ High Com - 28 Kavika</t>
  </si>
  <si>
    <t>NZ High Com - 71 Princess</t>
  </si>
  <si>
    <t>NZ High Com - 34 Fletcher Road</t>
  </si>
  <si>
    <t>NZ High Com - 21 Nararo</t>
  </si>
  <si>
    <t>NZ High Com - 195 Queen Elizabeth Dr</t>
  </si>
  <si>
    <t>NZ Defence 10 McGowan Pace</t>
  </si>
  <si>
    <t>NZ Defence 26 Berry Road</t>
  </si>
  <si>
    <t>NZ Defence 14 Vuvui Place</t>
  </si>
  <si>
    <t>NZ Immgration 7 Kavika</t>
  </si>
  <si>
    <t>High Commission of India</t>
  </si>
  <si>
    <t>Fiji Gas Co Ltd</t>
  </si>
  <si>
    <t>Lees Trading Co Ltd</t>
  </si>
  <si>
    <t>CJ Patel 12 Vuvui Place</t>
  </si>
  <si>
    <t>Sharmas Architects Desing Grp Capital Hill</t>
  </si>
  <si>
    <t>Mind Pearl - Valelevu</t>
  </si>
  <si>
    <t>Mind Pearl - Residence 280 Princess</t>
  </si>
  <si>
    <t>Mind Pearl - Residence Paul Sloan</t>
  </si>
  <si>
    <t>Mind Pearl - Residence Athens Apt</t>
  </si>
  <si>
    <t>Mind Pearl - Residence 131 Nailuva</t>
  </si>
  <si>
    <t>QBE Insurance Ltd</t>
  </si>
  <si>
    <t>Oceanic Communication Ltd</t>
  </si>
  <si>
    <t>Carpenters Fiji Ltd</t>
  </si>
  <si>
    <t>Embassy of Japan - Ambass Resi</t>
  </si>
  <si>
    <t>Embassy of Japan - Office</t>
  </si>
  <si>
    <t>Total Fiji Walu Bay</t>
  </si>
  <si>
    <t>Total Fiji Courrier Service</t>
  </si>
  <si>
    <t>Total Fiji Lube Warehouse</t>
  </si>
  <si>
    <t>British High Com (12hr shift)</t>
  </si>
  <si>
    <t>British High Com (8 hr shift)</t>
  </si>
  <si>
    <t>British High Com (Mobile Supervisor)</t>
  </si>
  <si>
    <t>British High Com Defence 24 Marou</t>
  </si>
  <si>
    <t>European Union Tappoo</t>
  </si>
  <si>
    <t>European Union Residence x 18</t>
  </si>
  <si>
    <t>European Union Mobil Patrol</t>
  </si>
  <si>
    <t>Embassy of USA - Guards</t>
  </si>
  <si>
    <t>Embassy of USA - Senior Guards</t>
  </si>
  <si>
    <t>Embassy of USA - Supervisor</t>
  </si>
  <si>
    <t>Embassy of USA - Commander</t>
  </si>
  <si>
    <t>Embassy of USA - Guard Driver</t>
  </si>
  <si>
    <t>Other Charges</t>
  </si>
  <si>
    <t>Embassy of USA - Vehicle/Comms</t>
  </si>
  <si>
    <t>Embassy of USA - Construction Site</t>
  </si>
  <si>
    <t>Tiko's Floating Restaurant</t>
  </si>
  <si>
    <t>Tiko's Resi 2 Bakshi Ste</t>
  </si>
  <si>
    <t>Kundan Singh &amp; Sons</t>
  </si>
  <si>
    <t>Whaley's Butcher Resi Brewester St</t>
  </si>
  <si>
    <t>IMF Resi 12 Marou Richard Neves</t>
  </si>
  <si>
    <t>Resene Pacific Ltd</t>
  </si>
  <si>
    <t>Tritech Consultant Eng</t>
  </si>
  <si>
    <t>Fiji Ports Corporation Mua I Walu Jetty</t>
  </si>
  <si>
    <t>Fiji Ports Corporation Port Suva South Gate</t>
  </si>
  <si>
    <t>Fiji Ports Corporation Port Suva North Gate</t>
  </si>
  <si>
    <t>Fiji Ports Corporation Port Suva Foot Patrol</t>
  </si>
  <si>
    <t>CocaCola Amatil</t>
  </si>
  <si>
    <t>Mobil Oil Suva</t>
  </si>
  <si>
    <t>Mobil Oil Tailevu</t>
  </si>
  <si>
    <t>Novotel Suva Lami</t>
  </si>
  <si>
    <t>Novotel Suva Lami Cash Escort</t>
  </si>
  <si>
    <t>Automated Building Service</t>
  </si>
  <si>
    <t>Intergroup Fiji</t>
  </si>
  <si>
    <t>APTC Ganilau Hse</t>
  </si>
  <si>
    <t>APTC Walubay</t>
  </si>
  <si>
    <t>UNOCHR 69 Cakabau</t>
  </si>
  <si>
    <t>Kenua Shippng</t>
  </si>
  <si>
    <t>UNCTAD/ASYCUDA Programme</t>
  </si>
  <si>
    <t>Office of DPP</t>
  </si>
  <si>
    <t>Sean Casy</t>
  </si>
  <si>
    <t>Reserve Bank of Fiji</t>
  </si>
  <si>
    <t>Dr Nur Bano</t>
  </si>
  <si>
    <t>Fiji Airways Aircraft Duties</t>
  </si>
  <si>
    <t>Fiji Airways PAX Rates</t>
  </si>
  <si>
    <t>Fiji Airways Search Party</t>
  </si>
  <si>
    <t>Fiji Airways Office</t>
  </si>
  <si>
    <t>Pacific Sun</t>
  </si>
  <si>
    <t>Coffey Int'l - Erin Chiu Fenton</t>
  </si>
  <si>
    <t>Makan's Drugs</t>
  </si>
  <si>
    <t>World Food Programme Joseph Choi</t>
  </si>
  <si>
    <t>OHCHR 12 Short St Patrick</t>
  </si>
  <si>
    <t>Mathew Johnson</t>
  </si>
  <si>
    <t>Lydhurst Limited Valelevu</t>
  </si>
  <si>
    <t>UNDP Jean Guiliani</t>
  </si>
  <si>
    <t>Mr Peters &amp; Eleen Peters</t>
  </si>
  <si>
    <t>UN Women 257 Ratu Sukuna Road</t>
  </si>
  <si>
    <t>Laucala Island Resort - Guards</t>
  </si>
  <si>
    <t>Laucala Island Resort - Aviation License</t>
  </si>
  <si>
    <t>UNDP Pacific Centre 14 Makita</t>
  </si>
  <si>
    <t>UNPF 199 QE Drive</t>
  </si>
  <si>
    <t>Fiji Ports Corporation Port of Lautoka Main Gate</t>
  </si>
  <si>
    <t>Fiji Ports Corporation Port of Lautoka Foot Patrol</t>
  </si>
  <si>
    <t>No</t>
  </si>
  <si>
    <t>Yes</t>
  </si>
  <si>
    <t>no</t>
  </si>
  <si>
    <t>stated</t>
  </si>
  <si>
    <t>17-3-2017</t>
  </si>
  <si>
    <t>Stated</t>
  </si>
  <si>
    <t>UFN</t>
  </si>
  <si>
    <t>21-12-2018</t>
  </si>
  <si>
    <t>Toll Construction and Joinery</t>
  </si>
  <si>
    <t>yes</t>
  </si>
  <si>
    <t>YES</t>
  </si>
  <si>
    <t>Start Date</t>
  </si>
  <si>
    <t>Y</t>
  </si>
  <si>
    <t>until further notice</t>
  </si>
  <si>
    <t>30/07/2014</t>
  </si>
  <si>
    <t>UNTIL FURTHER NOTICE</t>
  </si>
  <si>
    <t>30/11/2019</t>
  </si>
  <si>
    <t>N</t>
  </si>
  <si>
    <t>31/03/2019</t>
  </si>
  <si>
    <t>15/08/2018</t>
  </si>
  <si>
    <t>30/06/2020</t>
  </si>
  <si>
    <t>31/08/2019</t>
  </si>
  <si>
    <t>29/02/2020</t>
  </si>
  <si>
    <t>16/03/2018</t>
  </si>
  <si>
    <t>30/05/2023</t>
  </si>
  <si>
    <t>23/05/2018</t>
  </si>
  <si>
    <t>31/12/18</t>
  </si>
  <si>
    <t>17/11/17</t>
  </si>
  <si>
    <t>y</t>
  </si>
  <si>
    <t>31/08/2022</t>
  </si>
  <si>
    <t>26/01/2018</t>
  </si>
  <si>
    <t>26/05/17</t>
  </si>
  <si>
    <t>31/01/2019</t>
  </si>
  <si>
    <t>31/12/2018</t>
  </si>
  <si>
    <t>15/09/2015</t>
  </si>
  <si>
    <t>14/09/2019</t>
  </si>
  <si>
    <t>20/06/2016</t>
  </si>
  <si>
    <t>20/06/2021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</si>
</sst>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(* #,##0_);_(* \(#,##0\);_(* &quot;-&quot;??_);_(@_)"/>
    <numFmt numFmtId="166" formatCode="&quot;$&quot;#,##0.00;[Red]&quot;$&quot;#,##0.00"/>
    <numFmt numFmtId="167" formatCode="[$-409]d\-mmm\-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5" fontId="0" fillId="0" borderId="0" xfId="0" applyNumberFormat="1"/>
    <xf numFmtId="164" fontId="0" fillId="0" borderId="0" xfId="0" applyNumberFormat="1"/>
    <xf numFmtId="164" fontId="1" fillId="2" borderId="2" xfId="0" applyNumberFormat="1" applyFont="1" applyFill="1" applyBorder="1" applyAlignment="1">
      <alignment horizontal="center" vertical="center" wrapText="1"/>
    </xf>
    <xf numFmtId="43" fontId="0" fillId="0" borderId="0" xfId="1" applyFont="1"/>
    <xf numFmtId="165" fontId="0" fillId="0" borderId="0" xfId="1" applyNumberFormat="1" applyFont="1"/>
    <xf numFmtId="0" fontId="0" fillId="0" borderId="0" xfId="0" applyFill="1"/>
    <xf numFmtId="15" fontId="0" fillId="0" borderId="0" xfId="0" applyNumberFormat="1" applyFill="1"/>
    <xf numFmtId="164" fontId="0" fillId="0" borderId="0" xfId="0" applyNumberFormat="1" applyFill="1"/>
    <xf numFmtId="165" fontId="0" fillId="0" borderId="0" xfId="1" applyNumberFormat="1" applyFont="1" applyFill="1"/>
    <xf numFmtId="17" fontId="0" fillId="0" borderId="0" xfId="0" applyNumberFormat="1"/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15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7" fontId="0" fillId="0" borderId="0" xfId="0" applyNumberFormat="1" applyFill="1"/>
    <xf numFmtId="15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164" fontId="0" fillId="0" borderId="0" xfId="0" applyNumberFormat="1" applyFill="1" applyBorder="1"/>
    <xf numFmtId="165" fontId="0" fillId="0" borderId="0" xfId="1" applyNumberFormat="1" applyFont="1" applyFill="1" applyBorder="1"/>
    <xf numFmtId="44" fontId="0" fillId="0" borderId="0" xfId="2" applyFont="1" applyFill="1" applyBorder="1"/>
    <xf numFmtId="43" fontId="0" fillId="0" borderId="0" xfId="1" applyFont="1" applyFill="1" applyBorder="1"/>
    <xf numFmtId="14" fontId="0" fillId="0" borderId="0" xfId="0" applyNumberFormat="1" applyFill="1" applyBorder="1"/>
    <xf numFmtId="43" fontId="0" fillId="0" borderId="0" xfId="1" applyFont="1" applyFill="1"/>
    <xf numFmtId="0" fontId="0" fillId="0" borderId="0" xfId="0" applyBorder="1"/>
    <xf numFmtId="17" fontId="0" fillId="0" borderId="0" xfId="0" applyNumberFormat="1" applyFill="1" applyBorder="1"/>
    <xf numFmtId="166" fontId="0" fillId="0" borderId="0" xfId="0" applyNumberFormat="1" applyFill="1" applyBorder="1"/>
    <xf numFmtId="15" fontId="0" fillId="0" borderId="0" xfId="0" applyNumberFormat="1" applyFill="1" applyBorder="1"/>
    <xf numFmtId="165" fontId="1" fillId="2" borderId="1" xfId="1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R66"/>
  <sheetViews>
    <sheetView tabSelected="1" zoomScale="80" zoomScaleNormal="80" workbookViewId="0">
      <pane ySplit="1" topLeftCell="A2" activePane="bottomLeft" state="frozen"/>
      <selection activeCell="M1" sqref="M1"/>
      <selection pane="bottomLeft" activeCell="C24" sqref="C24"/>
    </sheetView>
  </sheetViews>
  <sheetFormatPr defaultRowHeight="15" x14ac:dyDescent="0.25"/>
  <cols>
    <col min="1" max="1" width="12.42578125" customWidth="1"/>
    <col min="2" max="2" width="10.85546875" customWidth="1"/>
    <col min="3" max="3" width="57.7109375" customWidth="1"/>
    <col min="4" max="4" width="13" bestFit="1" customWidth="1"/>
    <col min="5" max="5" width="10.85546875" style="6" customWidth="1"/>
    <col min="6" max="11" width="10.85546875" style="7" customWidth="1"/>
    <col min="12" max="12" width="9.5703125" style="10" bestFit="1" customWidth="1"/>
    <col min="13" max="13" width="10.85546875" style="7" customWidth="1"/>
    <col min="14" max="14" width="10.85546875" customWidth="1"/>
    <col min="16" max="16" width="10.7109375" customWidth="1"/>
    <col min="17" max="17" width="10.28515625" customWidth="1"/>
    <col min="18" max="18" width="10.42578125" bestFit="1" customWidth="1"/>
  </cols>
  <sheetData>
    <row r="1" spans="1:18" ht="45" x14ac:dyDescent="0.25">
      <c r="A1" s="1" t="s">
        <v>77</v>
      </c>
      <c r="B1" s="1" t="s">
        <v>0</v>
      </c>
      <c r="C1" s="2" t="s">
        <v>1</v>
      </c>
      <c r="D1" s="1" t="s">
        <v>2</v>
      </c>
      <c r="E1" s="3" t="s">
        <v>3</v>
      </c>
      <c r="F1" s="4" t="s">
        <v>4</v>
      </c>
      <c r="G1" s="4" t="s">
        <v>5</v>
      </c>
      <c r="H1" s="4" t="s">
        <v>34</v>
      </c>
      <c r="I1" s="4" t="s">
        <v>35</v>
      </c>
      <c r="J1" s="4" t="s">
        <v>75</v>
      </c>
      <c r="K1" s="4" t="s">
        <v>76</v>
      </c>
      <c r="L1" s="4" t="s">
        <v>6</v>
      </c>
      <c r="M1" s="8" t="s">
        <v>10</v>
      </c>
      <c r="N1" s="4" t="s">
        <v>7</v>
      </c>
      <c r="O1" s="8" t="s">
        <v>83</v>
      </c>
      <c r="P1" s="8" t="s">
        <v>84</v>
      </c>
      <c r="Q1" s="8" t="s">
        <v>236</v>
      </c>
      <c r="R1" s="8" t="s">
        <v>85</v>
      </c>
    </row>
    <row r="2" spans="1:18" x14ac:dyDescent="0.25">
      <c r="A2" t="s">
        <v>80</v>
      </c>
      <c r="B2">
        <v>6212</v>
      </c>
      <c r="C2" t="s">
        <v>15</v>
      </c>
      <c r="D2" s="16" t="s">
        <v>225</v>
      </c>
      <c r="E2" s="6">
        <v>43009</v>
      </c>
      <c r="F2" s="7">
        <v>5.2</v>
      </c>
      <c r="G2" s="19" t="s">
        <v>225</v>
      </c>
      <c r="M2" s="10">
        <f>334+41</f>
        <v>375</v>
      </c>
      <c r="N2" s="15">
        <v>42156</v>
      </c>
      <c r="O2" s="16"/>
      <c r="Q2" s="15"/>
    </row>
    <row r="3" spans="1:18" x14ac:dyDescent="0.25">
      <c r="A3" t="s">
        <v>80</v>
      </c>
      <c r="B3">
        <v>6833</v>
      </c>
      <c r="C3" t="s">
        <v>16</v>
      </c>
      <c r="D3" s="16" t="s">
        <v>226</v>
      </c>
      <c r="E3" s="6">
        <v>43009</v>
      </c>
      <c r="F3" s="7">
        <v>5.25</v>
      </c>
      <c r="G3" s="19" t="s">
        <v>225</v>
      </c>
      <c r="M3" s="10">
        <f>1440+480</f>
        <v>1920</v>
      </c>
      <c r="N3" s="15">
        <v>42156</v>
      </c>
      <c r="O3" s="16" t="s">
        <v>227</v>
      </c>
      <c r="P3" s="16" t="s">
        <v>228</v>
      </c>
      <c r="Q3" s="20" t="s">
        <v>229</v>
      </c>
      <c r="R3" s="21">
        <v>43086</v>
      </c>
    </row>
    <row r="4" spans="1:18" x14ac:dyDescent="0.25">
      <c r="A4" t="s">
        <v>80</v>
      </c>
      <c r="B4">
        <v>6200</v>
      </c>
      <c r="C4" t="s">
        <v>17</v>
      </c>
      <c r="D4" s="16"/>
      <c r="E4" s="6">
        <v>43009</v>
      </c>
      <c r="F4" s="7">
        <v>5.12</v>
      </c>
      <c r="G4" s="19"/>
      <c r="M4" s="10">
        <v>390</v>
      </c>
      <c r="N4" s="15">
        <v>42156</v>
      </c>
      <c r="O4" s="16"/>
      <c r="P4" s="16"/>
      <c r="Q4" s="16"/>
      <c r="R4" s="16"/>
    </row>
    <row r="5" spans="1:18" x14ac:dyDescent="0.25">
      <c r="A5" t="s">
        <v>80</v>
      </c>
      <c r="B5">
        <v>6842</v>
      </c>
      <c r="C5" t="s">
        <v>21</v>
      </c>
      <c r="D5" s="16" t="s">
        <v>225</v>
      </c>
      <c r="E5" s="6">
        <v>43009</v>
      </c>
      <c r="F5" s="7">
        <v>5.25</v>
      </c>
      <c r="G5" s="19"/>
      <c r="M5" s="10">
        <v>374</v>
      </c>
      <c r="N5" s="15">
        <v>42156</v>
      </c>
      <c r="O5" s="16"/>
      <c r="P5" s="16"/>
      <c r="Q5" s="16"/>
      <c r="R5" s="16"/>
    </row>
    <row r="6" spans="1:18" x14ac:dyDescent="0.25">
      <c r="A6" t="s">
        <v>80</v>
      </c>
      <c r="B6">
        <v>6799</v>
      </c>
      <c r="C6" t="s">
        <v>23</v>
      </c>
      <c r="D6" s="16" t="s">
        <v>226</v>
      </c>
      <c r="E6" s="6">
        <v>43009</v>
      </c>
      <c r="F6" s="7">
        <v>5.25</v>
      </c>
      <c r="G6" s="19" t="s">
        <v>225</v>
      </c>
      <c r="M6" s="10">
        <f>481.5+476</f>
        <v>957.5</v>
      </c>
      <c r="N6" s="15">
        <v>42156</v>
      </c>
      <c r="O6" s="16" t="s">
        <v>225</v>
      </c>
      <c r="P6" s="16" t="s">
        <v>228</v>
      </c>
      <c r="Q6" s="20">
        <v>42492</v>
      </c>
      <c r="R6" s="21">
        <v>42856</v>
      </c>
    </row>
    <row r="7" spans="1:18" x14ac:dyDescent="0.25">
      <c r="A7" t="s">
        <v>80</v>
      </c>
      <c r="B7">
        <v>6841</v>
      </c>
      <c r="C7" t="s">
        <v>26</v>
      </c>
      <c r="D7" s="16" t="s">
        <v>226</v>
      </c>
      <c r="E7" s="6">
        <v>43009</v>
      </c>
      <c r="F7" s="7">
        <v>5.25</v>
      </c>
      <c r="G7" s="19" t="s">
        <v>226</v>
      </c>
      <c r="M7" s="10">
        <v>332</v>
      </c>
      <c r="N7" s="15">
        <v>42156</v>
      </c>
      <c r="O7" s="16"/>
      <c r="P7" s="16"/>
      <c r="Q7" s="16"/>
      <c r="R7" s="16"/>
    </row>
    <row r="8" spans="1:18" x14ac:dyDescent="0.25">
      <c r="A8" t="s">
        <v>80</v>
      </c>
      <c r="B8">
        <v>6446</v>
      </c>
      <c r="C8" t="s">
        <v>31</v>
      </c>
      <c r="D8" s="16" t="s">
        <v>226</v>
      </c>
      <c r="E8" s="6">
        <v>43009</v>
      </c>
      <c r="F8" s="7">
        <v>5.25</v>
      </c>
      <c r="G8" s="19" t="s">
        <v>225</v>
      </c>
      <c r="M8" s="10">
        <v>674</v>
      </c>
      <c r="N8" s="15">
        <v>42156</v>
      </c>
      <c r="O8" s="16" t="s">
        <v>225</v>
      </c>
      <c r="P8" s="16" t="s">
        <v>230</v>
      </c>
      <c r="Q8" s="20">
        <v>39757</v>
      </c>
      <c r="R8" s="16" t="s">
        <v>231</v>
      </c>
    </row>
    <row r="9" spans="1:18" x14ac:dyDescent="0.25">
      <c r="A9" t="s">
        <v>80</v>
      </c>
      <c r="B9">
        <v>6813</v>
      </c>
      <c r="C9" t="s">
        <v>36</v>
      </c>
      <c r="D9" s="16"/>
      <c r="E9" s="6">
        <v>43009</v>
      </c>
      <c r="F9" s="7">
        <v>5.97</v>
      </c>
      <c r="G9" s="19"/>
      <c r="H9" s="7">
        <v>18</v>
      </c>
      <c r="I9" s="7">
        <v>4</v>
      </c>
      <c r="M9" s="10">
        <f>128+1440</f>
        <v>1568</v>
      </c>
      <c r="N9" s="15">
        <v>42156</v>
      </c>
      <c r="O9" s="16"/>
      <c r="P9" s="16"/>
      <c r="Q9" s="16"/>
      <c r="R9" s="16"/>
    </row>
    <row r="10" spans="1:18" x14ac:dyDescent="0.25">
      <c r="A10" t="s">
        <v>80</v>
      </c>
      <c r="B10">
        <v>6756</v>
      </c>
      <c r="C10" t="s">
        <v>37</v>
      </c>
      <c r="D10" s="16" t="s">
        <v>226</v>
      </c>
      <c r="E10" s="6">
        <v>43009</v>
      </c>
      <c r="F10" s="7">
        <v>5.25</v>
      </c>
      <c r="G10" s="19" t="s">
        <v>225</v>
      </c>
      <c r="M10" s="10">
        <v>45</v>
      </c>
      <c r="N10" s="15">
        <v>42156</v>
      </c>
      <c r="O10" s="16" t="s">
        <v>226</v>
      </c>
      <c r="P10" s="16" t="s">
        <v>228</v>
      </c>
      <c r="Q10" s="20">
        <v>41561</v>
      </c>
      <c r="R10" s="16" t="s">
        <v>231</v>
      </c>
    </row>
    <row r="11" spans="1:18" x14ac:dyDescent="0.25">
      <c r="A11" t="s">
        <v>80</v>
      </c>
      <c r="B11">
        <v>6329</v>
      </c>
      <c r="C11" t="s">
        <v>38</v>
      </c>
      <c r="D11" s="16"/>
      <c r="E11" s="6">
        <v>43009</v>
      </c>
      <c r="F11" s="7">
        <v>5.25</v>
      </c>
      <c r="G11" s="19"/>
      <c r="M11" s="10">
        <f>56+32</f>
        <v>88</v>
      </c>
      <c r="N11" s="15">
        <v>42156</v>
      </c>
      <c r="O11" s="16"/>
      <c r="P11" s="16"/>
      <c r="Q11" s="16"/>
      <c r="R11" s="16"/>
    </row>
    <row r="12" spans="1:18" x14ac:dyDescent="0.25">
      <c r="A12" t="s">
        <v>80</v>
      </c>
      <c r="B12">
        <v>5509</v>
      </c>
      <c r="C12" t="s">
        <v>39</v>
      </c>
      <c r="D12" s="16"/>
      <c r="E12" s="6">
        <v>43009</v>
      </c>
      <c r="F12" s="7">
        <v>5</v>
      </c>
      <c r="G12" s="19"/>
      <c r="M12" s="10">
        <v>208</v>
      </c>
      <c r="N12" s="15">
        <v>42156</v>
      </c>
      <c r="O12" s="16"/>
      <c r="P12" s="16"/>
      <c r="Q12" s="16"/>
      <c r="R12" s="16"/>
    </row>
    <row r="13" spans="1:18" x14ac:dyDescent="0.25">
      <c r="A13" t="s">
        <v>80</v>
      </c>
      <c r="B13">
        <v>6583</v>
      </c>
      <c r="C13" t="s">
        <v>40</v>
      </c>
      <c r="D13" s="16"/>
      <c r="E13" s="6">
        <v>43009</v>
      </c>
      <c r="F13" s="7">
        <v>5.25</v>
      </c>
      <c r="G13" s="19"/>
      <c r="M13" s="10">
        <f>492+18</f>
        <v>510</v>
      </c>
      <c r="N13" s="15">
        <v>42156</v>
      </c>
      <c r="O13" s="16"/>
      <c r="P13" s="16"/>
      <c r="Q13" s="16"/>
      <c r="R13" s="16"/>
    </row>
    <row r="14" spans="1:18" x14ac:dyDescent="0.25">
      <c r="A14" t="s">
        <v>80</v>
      </c>
      <c r="B14">
        <v>6816</v>
      </c>
      <c r="C14" t="s">
        <v>41</v>
      </c>
      <c r="D14" s="16" t="s">
        <v>226</v>
      </c>
      <c r="E14" s="6">
        <v>43009</v>
      </c>
      <c r="F14" s="7">
        <v>5.91</v>
      </c>
      <c r="G14" s="19" t="s">
        <v>226</v>
      </c>
      <c r="M14" s="10">
        <f>1440+3600+676+352</f>
        <v>6068</v>
      </c>
      <c r="N14" s="15">
        <v>42156</v>
      </c>
      <c r="O14" s="16" t="s">
        <v>226</v>
      </c>
      <c r="P14" s="16" t="s">
        <v>228</v>
      </c>
      <c r="Q14" s="20">
        <v>42725</v>
      </c>
      <c r="R14" s="16" t="s">
        <v>232</v>
      </c>
    </row>
    <row r="15" spans="1:18" x14ac:dyDescent="0.25">
      <c r="A15" t="s">
        <v>80</v>
      </c>
      <c r="B15">
        <v>6570</v>
      </c>
      <c r="C15" t="s">
        <v>52</v>
      </c>
      <c r="D15" s="16"/>
      <c r="E15" s="6">
        <v>43009</v>
      </c>
      <c r="F15" s="7">
        <v>5.25</v>
      </c>
      <c r="G15" s="19"/>
      <c r="M15" s="10">
        <f>239+240+7</f>
        <v>486</v>
      </c>
      <c r="N15" s="15">
        <v>42156</v>
      </c>
      <c r="O15" s="16"/>
      <c r="P15" s="16"/>
      <c r="Q15" s="16"/>
      <c r="R15" s="16"/>
    </row>
    <row r="16" spans="1:18" x14ac:dyDescent="0.25">
      <c r="A16" t="s">
        <v>80</v>
      </c>
      <c r="B16">
        <v>5483</v>
      </c>
      <c r="C16" t="s">
        <v>42</v>
      </c>
      <c r="D16" s="16"/>
      <c r="E16" s="6">
        <v>43009</v>
      </c>
      <c r="F16" s="7">
        <v>4.99</v>
      </c>
      <c r="G16" s="19"/>
      <c r="M16" s="10">
        <v>1928</v>
      </c>
      <c r="N16" s="15">
        <v>42156</v>
      </c>
      <c r="O16" s="16" t="s">
        <v>226</v>
      </c>
      <c r="P16" s="16"/>
      <c r="Q16" s="16"/>
      <c r="R16" s="16"/>
    </row>
    <row r="17" spans="1:18" x14ac:dyDescent="0.25">
      <c r="A17" t="s">
        <v>80</v>
      </c>
      <c r="B17">
        <v>6814</v>
      </c>
      <c r="C17" t="s">
        <v>233</v>
      </c>
      <c r="D17" s="16" t="s">
        <v>226</v>
      </c>
      <c r="E17" s="6">
        <v>43009</v>
      </c>
      <c r="F17" s="7">
        <v>5</v>
      </c>
      <c r="G17" s="19" t="s">
        <v>226</v>
      </c>
      <c r="M17" s="10">
        <v>390</v>
      </c>
      <c r="N17" s="15">
        <v>42156</v>
      </c>
      <c r="O17" s="16" t="s">
        <v>226</v>
      </c>
      <c r="P17" s="16" t="s">
        <v>230</v>
      </c>
      <c r="Q17" s="20">
        <v>42660</v>
      </c>
      <c r="R17" s="20">
        <v>42855</v>
      </c>
    </row>
    <row r="18" spans="1:18" x14ac:dyDescent="0.25">
      <c r="A18" t="s">
        <v>80</v>
      </c>
      <c r="B18">
        <v>6807</v>
      </c>
      <c r="C18" t="s">
        <v>46</v>
      </c>
      <c r="D18" s="16" t="s">
        <v>226</v>
      </c>
      <c r="E18" s="6">
        <v>43009</v>
      </c>
      <c r="F18" s="7">
        <v>4.95</v>
      </c>
      <c r="G18" s="19" t="s">
        <v>226</v>
      </c>
      <c r="M18" s="10">
        <f>720+720+720+300</f>
        <v>2460</v>
      </c>
      <c r="N18" s="15">
        <v>42156</v>
      </c>
      <c r="O18" s="16" t="s">
        <v>226</v>
      </c>
      <c r="P18" s="16" t="s">
        <v>228</v>
      </c>
      <c r="Q18" s="20">
        <v>42614</v>
      </c>
      <c r="R18" s="20">
        <v>44561</v>
      </c>
    </row>
    <row r="19" spans="1:18" x14ac:dyDescent="0.25">
      <c r="A19" t="s">
        <v>80</v>
      </c>
      <c r="B19">
        <v>6807</v>
      </c>
      <c r="C19" t="s">
        <v>47</v>
      </c>
      <c r="D19" s="16" t="s">
        <v>226</v>
      </c>
      <c r="E19" s="6">
        <v>43009</v>
      </c>
      <c r="F19" s="7">
        <v>5.6</v>
      </c>
      <c r="G19" s="19" t="s">
        <v>226</v>
      </c>
      <c r="M19" s="10">
        <v>300</v>
      </c>
      <c r="N19" s="15">
        <v>42156</v>
      </c>
      <c r="O19" s="16"/>
      <c r="P19" s="16"/>
      <c r="Q19" s="20"/>
      <c r="R19" s="16"/>
    </row>
    <row r="20" spans="1:18" x14ac:dyDescent="0.25">
      <c r="A20" t="s">
        <v>80</v>
      </c>
      <c r="B20">
        <v>6807</v>
      </c>
      <c r="C20" t="s">
        <v>48</v>
      </c>
      <c r="D20" s="16" t="s">
        <v>226</v>
      </c>
      <c r="E20" s="6">
        <v>43009</v>
      </c>
      <c r="G20" s="19"/>
      <c r="H20" s="7">
        <v>1850</v>
      </c>
      <c r="M20" s="10"/>
      <c r="N20" s="15">
        <v>42156</v>
      </c>
      <c r="O20" s="16"/>
      <c r="P20" s="16"/>
      <c r="Q20" s="16"/>
      <c r="R20" s="16"/>
    </row>
    <row r="21" spans="1:18" x14ac:dyDescent="0.25">
      <c r="A21" t="s">
        <v>80</v>
      </c>
      <c r="B21">
        <v>5410</v>
      </c>
      <c r="C21" t="s">
        <v>49</v>
      </c>
      <c r="D21" s="16" t="s">
        <v>226</v>
      </c>
      <c r="E21" s="6">
        <v>43009</v>
      </c>
      <c r="F21" s="7">
        <v>6</v>
      </c>
      <c r="G21" s="19" t="s">
        <v>225</v>
      </c>
      <c r="M21" s="10">
        <f>1080+1440</f>
        <v>2520</v>
      </c>
      <c r="N21" s="15">
        <v>42156</v>
      </c>
      <c r="O21" s="16" t="s">
        <v>226</v>
      </c>
      <c r="P21" s="16" t="s">
        <v>228</v>
      </c>
      <c r="Q21" s="20">
        <v>42095</v>
      </c>
      <c r="R21" s="16" t="s">
        <v>231</v>
      </c>
    </row>
    <row r="22" spans="1:18" x14ac:dyDescent="0.25">
      <c r="A22" t="s">
        <v>80</v>
      </c>
      <c r="B22">
        <v>5320</v>
      </c>
      <c r="C22" t="s">
        <v>50</v>
      </c>
      <c r="D22" s="16" t="s">
        <v>226</v>
      </c>
      <c r="E22" s="6">
        <v>43009</v>
      </c>
      <c r="F22" s="7">
        <v>5.25</v>
      </c>
      <c r="G22" s="19" t="s">
        <v>225</v>
      </c>
      <c r="M22" s="10">
        <v>360</v>
      </c>
      <c r="N22" s="15">
        <v>42156</v>
      </c>
      <c r="O22" s="16" t="s">
        <v>225</v>
      </c>
      <c r="P22" s="16" t="s">
        <v>230</v>
      </c>
      <c r="Q22" s="20">
        <v>39930</v>
      </c>
      <c r="R22" s="16" t="s">
        <v>231</v>
      </c>
    </row>
    <row r="23" spans="1:18" x14ac:dyDescent="0.25">
      <c r="A23" t="s">
        <v>80</v>
      </c>
      <c r="B23">
        <v>5543</v>
      </c>
      <c r="C23" t="s">
        <v>51</v>
      </c>
      <c r="D23" s="16"/>
      <c r="E23" s="6">
        <v>43009</v>
      </c>
      <c r="F23" s="7">
        <v>5.25</v>
      </c>
      <c r="G23" s="19"/>
      <c r="M23" s="10">
        <v>360</v>
      </c>
      <c r="N23" s="15">
        <v>42156</v>
      </c>
      <c r="O23" s="16"/>
      <c r="P23" s="16"/>
      <c r="Q23" s="16"/>
      <c r="R23" s="16"/>
    </row>
    <row r="24" spans="1:18" x14ac:dyDescent="0.25">
      <c r="A24" t="s">
        <v>80</v>
      </c>
      <c r="B24">
        <v>5313</v>
      </c>
      <c r="C24" t="s">
        <v>54</v>
      </c>
      <c r="D24" s="16"/>
      <c r="E24" s="6">
        <v>43009</v>
      </c>
      <c r="F24" s="7">
        <v>5.25</v>
      </c>
      <c r="G24" s="19"/>
      <c r="M24" s="10">
        <v>180</v>
      </c>
      <c r="N24" s="15">
        <v>42156</v>
      </c>
      <c r="O24" s="16"/>
      <c r="P24" s="16"/>
      <c r="Q24" s="16"/>
      <c r="R24" s="16"/>
    </row>
    <row r="25" spans="1:18" x14ac:dyDescent="0.25">
      <c r="A25" t="s">
        <v>80</v>
      </c>
      <c r="B25">
        <v>5313</v>
      </c>
      <c r="C25" t="s">
        <v>55</v>
      </c>
      <c r="D25" s="16"/>
      <c r="E25" s="6">
        <v>43009</v>
      </c>
      <c r="F25" s="7">
        <v>8</v>
      </c>
      <c r="G25" s="19"/>
      <c r="M25" s="10">
        <v>348</v>
      </c>
      <c r="N25" s="15">
        <v>42156</v>
      </c>
      <c r="O25" s="16"/>
      <c r="P25" s="16"/>
      <c r="Q25" s="16"/>
      <c r="R25" s="16"/>
    </row>
    <row r="26" spans="1:18" x14ac:dyDescent="0.25">
      <c r="A26" t="s">
        <v>80</v>
      </c>
      <c r="B26">
        <v>6503</v>
      </c>
      <c r="C26" t="s">
        <v>56</v>
      </c>
      <c r="D26" s="16" t="s">
        <v>226</v>
      </c>
      <c r="E26" s="6">
        <v>43009</v>
      </c>
      <c r="F26" s="7">
        <v>6</v>
      </c>
      <c r="G26" s="19" t="s">
        <v>225</v>
      </c>
      <c r="M26" s="10">
        <v>210</v>
      </c>
      <c r="N26" s="15">
        <v>42156</v>
      </c>
      <c r="O26" s="16" t="s">
        <v>225</v>
      </c>
      <c r="P26" s="16" t="s">
        <v>228</v>
      </c>
      <c r="Q26" s="20">
        <v>40239</v>
      </c>
      <c r="R26" s="16" t="s">
        <v>231</v>
      </c>
    </row>
    <row r="27" spans="1:18" x14ac:dyDescent="0.25">
      <c r="A27" t="s">
        <v>80</v>
      </c>
      <c r="B27">
        <v>6613</v>
      </c>
      <c r="C27" t="s">
        <v>71</v>
      </c>
      <c r="D27" s="16" t="s">
        <v>226</v>
      </c>
      <c r="E27" s="6">
        <v>43009</v>
      </c>
      <c r="F27" s="7">
        <v>6</v>
      </c>
      <c r="G27" s="19" t="s">
        <v>226</v>
      </c>
      <c r="M27" s="10">
        <v>720</v>
      </c>
      <c r="N27" s="15">
        <v>42156</v>
      </c>
      <c r="O27" s="16" t="s">
        <v>226</v>
      </c>
      <c r="P27" s="16" t="s">
        <v>228</v>
      </c>
      <c r="Q27" s="20">
        <v>41730</v>
      </c>
      <c r="R27" s="16" t="s">
        <v>231</v>
      </c>
    </row>
    <row r="28" spans="1:18" x14ac:dyDescent="0.25">
      <c r="A28" t="s">
        <v>80</v>
      </c>
      <c r="B28">
        <v>6613</v>
      </c>
      <c r="C28" t="s">
        <v>72</v>
      </c>
      <c r="D28" s="16" t="s">
        <v>226</v>
      </c>
      <c r="E28" s="6">
        <v>43009</v>
      </c>
      <c r="F28" s="7">
        <v>8</v>
      </c>
      <c r="G28" s="19" t="s">
        <v>226</v>
      </c>
      <c r="M28" s="10">
        <v>360</v>
      </c>
      <c r="N28" s="15">
        <v>42156</v>
      </c>
      <c r="O28" s="16" t="s">
        <v>226</v>
      </c>
      <c r="P28" s="16" t="s">
        <v>230</v>
      </c>
      <c r="Q28" s="20">
        <v>41730</v>
      </c>
      <c r="R28" s="16" t="s">
        <v>231</v>
      </c>
    </row>
    <row r="29" spans="1:18" x14ac:dyDescent="0.25">
      <c r="A29" t="s">
        <v>80</v>
      </c>
      <c r="B29">
        <v>5483</v>
      </c>
      <c r="C29" t="s">
        <v>73</v>
      </c>
      <c r="D29" s="16"/>
      <c r="E29" s="6">
        <v>43009</v>
      </c>
      <c r="F29" s="7">
        <v>4.99</v>
      </c>
      <c r="G29" s="19"/>
      <c r="M29" s="10">
        <v>152</v>
      </c>
      <c r="N29" s="15">
        <v>42156</v>
      </c>
      <c r="O29" s="16"/>
      <c r="P29" s="16"/>
      <c r="Q29" s="16"/>
      <c r="R29" s="16"/>
    </row>
    <row r="30" spans="1:18" x14ac:dyDescent="0.25">
      <c r="A30" t="s">
        <v>81</v>
      </c>
      <c r="B30">
        <v>6509</v>
      </c>
      <c r="C30" t="s">
        <v>27</v>
      </c>
      <c r="D30" s="16" t="s">
        <v>226</v>
      </c>
      <c r="E30" s="6">
        <v>43009</v>
      </c>
      <c r="F30" s="7">
        <v>5.3</v>
      </c>
      <c r="G30" s="19" t="s">
        <v>226</v>
      </c>
      <c r="M30" s="10">
        <f>720+600</f>
        <v>1320</v>
      </c>
      <c r="N30" s="15">
        <v>42156</v>
      </c>
      <c r="O30" s="16" t="s">
        <v>234</v>
      </c>
      <c r="P30" s="16" t="s">
        <v>228</v>
      </c>
      <c r="Q30" s="20">
        <v>41730</v>
      </c>
      <c r="R30" s="16" t="s">
        <v>231</v>
      </c>
    </row>
    <row r="31" spans="1:18" x14ac:dyDescent="0.25">
      <c r="A31" t="s">
        <v>81</v>
      </c>
      <c r="B31">
        <v>6761</v>
      </c>
      <c r="C31" t="s">
        <v>28</v>
      </c>
      <c r="D31" s="16" t="s">
        <v>226</v>
      </c>
      <c r="E31" s="6">
        <v>43009</v>
      </c>
      <c r="F31" s="7">
        <v>5.3</v>
      </c>
      <c r="G31" s="19" t="s">
        <v>226</v>
      </c>
      <c r="M31" s="10">
        <v>720</v>
      </c>
      <c r="N31" s="15">
        <v>42156</v>
      </c>
      <c r="O31" s="16" t="s">
        <v>226</v>
      </c>
      <c r="P31" s="16" t="s">
        <v>228</v>
      </c>
      <c r="Q31" s="20">
        <v>41359</v>
      </c>
      <c r="R31" s="16" t="s">
        <v>231</v>
      </c>
    </row>
    <row r="32" spans="1:18" x14ac:dyDescent="0.25">
      <c r="A32" t="s">
        <v>81</v>
      </c>
      <c r="B32">
        <v>5401</v>
      </c>
      <c r="C32" t="s">
        <v>29</v>
      </c>
      <c r="D32" s="16"/>
      <c r="E32" s="6">
        <v>43009</v>
      </c>
      <c r="F32" s="7">
        <v>5.25</v>
      </c>
      <c r="G32" s="19"/>
      <c r="M32" s="10">
        <v>720</v>
      </c>
      <c r="N32" s="15">
        <v>42156</v>
      </c>
      <c r="O32" s="16"/>
      <c r="P32" s="16"/>
      <c r="Q32" s="16"/>
      <c r="R32" s="16"/>
    </row>
    <row r="33" spans="1:18" x14ac:dyDescent="0.25">
      <c r="A33" t="s">
        <v>81</v>
      </c>
      <c r="B33">
        <v>5401</v>
      </c>
      <c r="C33" t="s">
        <v>30</v>
      </c>
      <c r="D33" s="16"/>
      <c r="E33" s="6">
        <v>43009</v>
      </c>
      <c r="F33" s="7">
        <v>7</v>
      </c>
      <c r="G33" s="19"/>
      <c r="M33" s="10">
        <v>720</v>
      </c>
      <c r="N33" s="15">
        <v>42156</v>
      </c>
      <c r="O33" s="16"/>
      <c r="P33" s="16"/>
      <c r="Q33" s="16"/>
      <c r="R33" s="16"/>
    </row>
    <row r="34" spans="1:18" x14ac:dyDescent="0.25">
      <c r="A34" t="s">
        <v>81</v>
      </c>
      <c r="B34">
        <v>5388</v>
      </c>
      <c r="C34" t="s">
        <v>32</v>
      </c>
      <c r="D34" s="16"/>
      <c r="E34" s="6">
        <v>43009</v>
      </c>
      <c r="F34" s="7">
        <v>6</v>
      </c>
      <c r="G34" s="19"/>
      <c r="M34" s="10">
        <f>2940+83</f>
        <v>3023</v>
      </c>
      <c r="N34" s="15">
        <v>42156</v>
      </c>
      <c r="O34" s="16"/>
      <c r="P34" s="16"/>
      <c r="Q34" s="16"/>
      <c r="R34" s="16"/>
    </row>
    <row r="35" spans="1:18" x14ac:dyDescent="0.25">
      <c r="A35" t="s">
        <v>81</v>
      </c>
      <c r="B35">
        <v>5309</v>
      </c>
      <c r="C35" t="s">
        <v>53</v>
      </c>
      <c r="D35" s="16" t="s">
        <v>235</v>
      </c>
      <c r="E35" s="6">
        <v>43009</v>
      </c>
      <c r="F35" s="7">
        <v>6</v>
      </c>
      <c r="G35" s="19"/>
      <c r="M35" s="10">
        <v>480</v>
      </c>
      <c r="N35" s="15">
        <v>42156</v>
      </c>
      <c r="O35" s="16" t="s">
        <v>226</v>
      </c>
      <c r="P35" s="16" t="s">
        <v>228</v>
      </c>
      <c r="Q35" s="20">
        <v>42272</v>
      </c>
      <c r="R35" s="16" t="s">
        <v>231</v>
      </c>
    </row>
    <row r="36" spans="1:18" x14ac:dyDescent="0.25">
      <c r="A36" t="s">
        <v>78</v>
      </c>
      <c r="B36">
        <v>6675</v>
      </c>
      <c r="C36" t="s">
        <v>67</v>
      </c>
      <c r="D36" s="16"/>
      <c r="E36" s="6">
        <v>43009</v>
      </c>
      <c r="F36" s="7">
        <v>7.39</v>
      </c>
      <c r="G36" s="19"/>
      <c r="M36" s="10">
        <v>9</v>
      </c>
      <c r="N36" s="15">
        <v>42156</v>
      </c>
      <c r="O36" s="16"/>
      <c r="P36" s="16"/>
      <c r="Q36" s="16"/>
      <c r="R36" s="16"/>
    </row>
    <row r="37" spans="1:18" s="11" customFormat="1" x14ac:dyDescent="0.25">
      <c r="A37" s="11" t="s">
        <v>78</v>
      </c>
      <c r="B37" s="11">
        <v>5339</v>
      </c>
      <c r="C37" s="11" t="s">
        <v>9</v>
      </c>
      <c r="D37" s="22"/>
      <c r="E37" s="12">
        <v>43009</v>
      </c>
      <c r="F37" s="13">
        <v>7.39</v>
      </c>
      <c r="G37" s="23"/>
      <c r="H37" s="13"/>
      <c r="I37" s="13"/>
      <c r="J37" s="13"/>
      <c r="K37" s="13"/>
      <c r="L37" s="14"/>
      <c r="M37" s="14">
        <v>15</v>
      </c>
      <c r="N37" s="15">
        <v>42156</v>
      </c>
      <c r="O37" s="22"/>
      <c r="P37" s="22"/>
      <c r="Q37" s="22"/>
      <c r="R37" s="22"/>
    </row>
    <row r="38" spans="1:18" x14ac:dyDescent="0.25">
      <c r="A38" t="s">
        <v>78</v>
      </c>
      <c r="B38">
        <v>5302</v>
      </c>
      <c r="C38" t="s">
        <v>11</v>
      </c>
      <c r="D38" s="16" t="s">
        <v>226</v>
      </c>
      <c r="E38" s="6">
        <v>43009</v>
      </c>
      <c r="F38" s="7">
        <v>8.15</v>
      </c>
      <c r="G38" s="19" t="s">
        <v>225</v>
      </c>
      <c r="M38" s="10">
        <f>1440+1440+1440</f>
        <v>4320</v>
      </c>
      <c r="N38" s="15">
        <v>43160</v>
      </c>
      <c r="O38" s="16"/>
      <c r="P38" s="16"/>
      <c r="Q38" s="16"/>
      <c r="R38" s="16"/>
    </row>
    <row r="39" spans="1:18" x14ac:dyDescent="0.25">
      <c r="A39" t="s">
        <v>78</v>
      </c>
      <c r="B39">
        <v>5001</v>
      </c>
      <c r="C39" t="s">
        <v>12</v>
      </c>
      <c r="D39" s="16" t="s">
        <v>226</v>
      </c>
      <c r="E39" s="6">
        <v>43009</v>
      </c>
      <c r="F39" s="7">
        <v>7.72</v>
      </c>
      <c r="G39" s="19" t="s">
        <v>226</v>
      </c>
      <c r="M39" s="10">
        <v>210</v>
      </c>
      <c r="N39" s="15">
        <v>42125</v>
      </c>
      <c r="O39" s="16" t="s">
        <v>226</v>
      </c>
      <c r="P39" s="16" t="s">
        <v>230</v>
      </c>
      <c r="Q39" s="20">
        <v>41730</v>
      </c>
      <c r="R39" s="16" t="s">
        <v>231</v>
      </c>
    </row>
    <row r="40" spans="1:18" x14ac:dyDescent="0.25">
      <c r="A40" t="s">
        <v>78</v>
      </c>
      <c r="B40">
        <v>6547</v>
      </c>
      <c r="C40" t="s">
        <v>13</v>
      </c>
      <c r="D40" s="16"/>
      <c r="E40" s="6">
        <v>43009</v>
      </c>
      <c r="F40" s="7">
        <v>11.46</v>
      </c>
      <c r="G40" s="19"/>
      <c r="M40" s="10">
        <v>78</v>
      </c>
      <c r="N40" s="15">
        <v>42125</v>
      </c>
      <c r="O40" s="16"/>
      <c r="P40" s="16"/>
      <c r="Q40" s="16"/>
      <c r="R40" s="16"/>
    </row>
    <row r="41" spans="1:18" x14ac:dyDescent="0.25">
      <c r="A41" t="s">
        <v>78</v>
      </c>
      <c r="B41">
        <v>5301</v>
      </c>
      <c r="C41" t="s">
        <v>14</v>
      </c>
      <c r="D41" s="16" t="s">
        <v>226</v>
      </c>
      <c r="E41" s="6">
        <v>43009</v>
      </c>
      <c r="F41" s="7">
        <v>10.42</v>
      </c>
      <c r="G41" s="19"/>
      <c r="M41" s="10">
        <f>147+112+105+112</f>
        <v>476</v>
      </c>
      <c r="N41" s="15">
        <v>42125</v>
      </c>
      <c r="O41" s="16" t="s">
        <v>227</v>
      </c>
      <c r="P41" s="16" t="s">
        <v>230</v>
      </c>
      <c r="Q41" s="20">
        <v>43090</v>
      </c>
      <c r="R41" s="16" t="s">
        <v>231</v>
      </c>
    </row>
    <row r="42" spans="1:18" s="11" customFormat="1" x14ac:dyDescent="0.25">
      <c r="A42" s="11" t="s">
        <v>78</v>
      </c>
      <c r="B42" s="11">
        <v>5308</v>
      </c>
      <c r="C42" s="11" t="s">
        <v>59</v>
      </c>
      <c r="D42" s="22"/>
      <c r="E42" s="12">
        <v>43009</v>
      </c>
      <c r="F42" s="13">
        <v>10.5</v>
      </c>
      <c r="G42" s="23"/>
      <c r="H42" s="13"/>
      <c r="I42" s="13"/>
      <c r="J42" s="13"/>
      <c r="K42" s="13"/>
      <c r="L42" s="14"/>
      <c r="M42" s="14">
        <v>12045</v>
      </c>
      <c r="N42" s="24">
        <v>42125</v>
      </c>
      <c r="O42" s="22"/>
      <c r="P42" s="22"/>
      <c r="Q42" s="22"/>
      <c r="R42" s="22"/>
    </row>
    <row r="43" spans="1:18" s="11" customFormat="1" x14ac:dyDescent="0.25">
      <c r="A43" s="11" t="s">
        <v>78</v>
      </c>
      <c r="B43" s="11">
        <v>5308</v>
      </c>
      <c r="C43" s="11" t="s">
        <v>60</v>
      </c>
      <c r="D43" s="22"/>
      <c r="E43" s="12">
        <v>43009</v>
      </c>
      <c r="F43" s="13">
        <v>10.5</v>
      </c>
      <c r="G43" s="23"/>
      <c r="H43" s="13"/>
      <c r="I43" s="13"/>
      <c r="J43" s="13"/>
      <c r="K43" s="13"/>
      <c r="L43" s="14"/>
      <c r="M43" s="14">
        <v>372</v>
      </c>
      <c r="N43" s="24">
        <v>42125</v>
      </c>
      <c r="O43" s="22"/>
      <c r="P43" s="22"/>
      <c r="Q43" s="22"/>
      <c r="R43" s="22"/>
    </row>
    <row r="44" spans="1:18" s="11" customFormat="1" x14ac:dyDescent="0.25">
      <c r="A44" s="11" t="s">
        <v>78</v>
      </c>
      <c r="B44" s="11">
        <v>5308</v>
      </c>
      <c r="C44" s="11" t="s">
        <v>61</v>
      </c>
      <c r="D44" s="22"/>
      <c r="E44" s="12">
        <v>43009</v>
      </c>
      <c r="F44" s="13">
        <v>10.5</v>
      </c>
      <c r="G44" s="23"/>
      <c r="H44" s="13"/>
      <c r="I44" s="13"/>
      <c r="J44" s="13"/>
      <c r="K44" s="13"/>
      <c r="L44" s="14"/>
      <c r="M44" s="14">
        <v>162</v>
      </c>
      <c r="N44" s="24">
        <v>42125</v>
      </c>
      <c r="O44" s="22"/>
      <c r="P44" s="22"/>
      <c r="Q44" s="22"/>
      <c r="R44" s="22"/>
    </row>
    <row r="45" spans="1:18" s="11" customFormat="1" x14ac:dyDescent="0.25">
      <c r="A45" s="11" t="s">
        <v>78</v>
      </c>
      <c r="B45" s="11">
        <v>5308</v>
      </c>
      <c r="C45" s="11" t="s">
        <v>62</v>
      </c>
      <c r="D45" s="22"/>
      <c r="E45" s="12">
        <v>43009</v>
      </c>
      <c r="F45" s="13">
        <v>10.5</v>
      </c>
      <c r="G45" s="23"/>
      <c r="H45" s="13"/>
      <c r="I45" s="13"/>
      <c r="J45" s="13"/>
      <c r="K45" s="13"/>
      <c r="L45" s="14"/>
      <c r="M45" s="14">
        <v>205</v>
      </c>
      <c r="N45" s="24">
        <v>42125</v>
      </c>
      <c r="O45" s="22"/>
      <c r="P45" s="22"/>
      <c r="Q45" s="22"/>
      <c r="R45" s="22"/>
    </row>
    <row r="46" spans="1:18" s="11" customFormat="1" x14ac:dyDescent="0.25">
      <c r="A46" s="11" t="s">
        <v>78</v>
      </c>
      <c r="B46" s="11">
        <v>5308</v>
      </c>
      <c r="C46" s="11" t="s">
        <v>63</v>
      </c>
      <c r="D46" s="22"/>
      <c r="E46" s="12">
        <v>43009</v>
      </c>
      <c r="F46" s="13">
        <v>10.5</v>
      </c>
      <c r="G46" s="23"/>
      <c r="H46" s="13"/>
      <c r="I46" s="13"/>
      <c r="J46" s="13"/>
      <c r="K46" s="13"/>
      <c r="L46" s="14"/>
      <c r="M46" s="14">
        <v>509</v>
      </c>
      <c r="N46" s="24">
        <v>42125</v>
      </c>
      <c r="O46" s="22"/>
      <c r="P46" s="22"/>
      <c r="Q46" s="22"/>
      <c r="R46" s="22"/>
    </row>
    <row r="47" spans="1:18" s="11" customFormat="1" x14ac:dyDescent="0.25">
      <c r="A47" s="11" t="s">
        <v>78</v>
      </c>
      <c r="B47" s="11">
        <v>5308</v>
      </c>
      <c r="C47" s="11" t="s">
        <v>64</v>
      </c>
      <c r="D47" s="22"/>
      <c r="E47" s="12">
        <v>43009</v>
      </c>
      <c r="F47" s="13">
        <v>10.5</v>
      </c>
      <c r="G47" s="23"/>
      <c r="H47" s="13"/>
      <c r="I47" s="13"/>
      <c r="J47" s="13"/>
      <c r="K47" s="13"/>
      <c r="L47" s="14"/>
      <c r="M47" s="14">
        <f>493+122</f>
        <v>615</v>
      </c>
      <c r="N47" s="24">
        <v>42125</v>
      </c>
      <c r="O47" s="22"/>
      <c r="P47" s="22"/>
      <c r="Q47" s="22"/>
      <c r="R47" s="22"/>
    </row>
    <row r="48" spans="1:18" s="11" customFormat="1" x14ac:dyDescent="0.25">
      <c r="A48" s="11" t="s">
        <v>78</v>
      </c>
      <c r="B48" s="11">
        <v>5308</v>
      </c>
      <c r="C48" s="11" t="s">
        <v>65</v>
      </c>
      <c r="D48" s="22"/>
      <c r="E48" s="12">
        <v>43009</v>
      </c>
      <c r="F48" s="13">
        <v>10.5</v>
      </c>
      <c r="G48" s="23"/>
      <c r="H48" s="13"/>
      <c r="I48" s="13"/>
      <c r="J48" s="13"/>
      <c r="K48" s="13"/>
      <c r="L48" s="14"/>
      <c r="M48" s="14">
        <v>720</v>
      </c>
      <c r="N48" s="24">
        <v>42125</v>
      </c>
      <c r="O48" s="22"/>
      <c r="P48" s="22"/>
      <c r="Q48" s="22"/>
      <c r="R48" s="22"/>
    </row>
    <row r="49" spans="1:18" s="11" customFormat="1" x14ac:dyDescent="0.25">
      <c r="A49" s="11" t="s">
        <v>78</v>
      </c>
      <c r="B49" s="11">
        <v>5308</v>
      </c>
      <c r="C49" s="11" t="s">
        <v>66</v>
      </c>
      <c r="D49" s="22"/>
      <c r="E49" s="12">
        <v>43009</v>
      </c>
      <c r="F49" s="13">
        <v>10.5</v>
      </c>
      <c r="G49" s="23"/>
      <c r="H49" s="13"/>
      <c r="I49" s="13"/>
      <c r="J49" s="13"/>
      <c r="K49" s="13"/>
      <c r="L49" s="14"/>
      <c r="M49" s="14">
        <v>1440</v>
      </c>
      <c r="N49" s="24">
        <v>42125</v>
      </c>
      <c r="O49" s="22"/>
      <c r="P49" s="22"/>
      <c r="Q49" s="22"/>
      <c r="R49" s="22"/>
    </row>
    <row r="50" spans="1:18" s="11" customFormat="1" x14ac:dyDescent="0.25">
      <c r="A50" s="11" t="s">
        <v>78</v>
      </c>
      <c r="B50" s="11">
        <v>6522</v>
      </c>
      <c r="C50" s="11" t="s">
        <v>20</v>
      </c>
      <c r="D50" s="22"/>
      <c r="E50" s="12">
        <v>43009</v>
      </c>
      <c r="F50" s="13">
        <v>6.87</v>
      </c>
      <c r="G50" s="23"/>
      <c r="H50" s="13"/>
      <c r="I50" s="13"/>
      <c r="J50" s="13"/>
      <c r="K50" s="13"/>
      <c r="L50" s="14"/>
      <c r="M50" s="14">
        <v>520</v>
      </c>
      <c r="N50" s="24">
        <v>42125</v>
      </c>
      <c r="O50" s="22"/>
      <c r="P50" s="22"/>
      <c r="Q50" s="22"/>
      <c r="R50" s="22"/>
    </row>
    <row r="51" spans="1:18" s="11" customFormat="1" x14ac:dyDescent="0.25">
      <c r="A51" s="11" t="s">
        <v>78</v>
      </c>
      <c r="B51" s="11">
        <v>6668</v>
      </c>
      <c r="C51" s="11" t="s">
        <v>24</v>
      </c>
      <c r="D51" s="22"/>
      <c r="E51" s="12">
        <v>43009</v>
      </c>
      <c r="F51" s="13">
        <v>11.46</v>
      </c>
      <c r="G51" s="23"/>
      <c r="H51" s="13"/>
      <c r="I51" s="13"/>
      <c r="J51" s="13"/>
      <c r="K51" s="13"/>
      <c r="L51" s="14"/>
      <c r="M51" s="14">
        <v>255</v>
      </c>
      <c r="N51" s="24">
        <v>42125</v>
      </c>
      <c r="O51" s="22"/>
      <c r="P51" s="22"/>
      <c r="Q51" s="22"/>
      <c r="R51" s="22"/>
    </row>
    <row r="52" spans="1:18" s="11" customFormat="1" x14ac:dyDescent="0.25">
      <c r="A52" s="11" t="s">
        <v>78</v>
      </c>
      <c r="B52" s="11">
        <v>5363</v>
      </c>
      <c r="C52" s="11" t="s">
        <v>25</v>
      </c>
      <c r="D52" s="22" t="s">
        <v>226</v>
      </c>
      <c r="E52" s="12">
        <v>43009</v>
      </c>
      <c r="F52" s="13">
        <v>10.65</v>
      </c>
      <c r="G52" s="23" t="s">
        <v>226</v>
      </c>
      <c r="H52" s="13"/>
      <c r="I52" s="13"/>
      <c r="J52" s="13"/>
      <c r="K52" s="13"/>
      <c r="L52" s="14"/>
      <c r="M52" s="14">
        <v>168</v>
      </c>
      <c r="N52" s="24">
        <v>42125</v>
      </c>
      <c r="O52" s="22" t="s">
        <v>225</v>
      </c>
      <c r="P52" s="22" t="s">
        <v>228</v>
      </c>
      <c r="Q52" s="25">
        <v>42005</v>
      </c>
      <c r="R52" s="22" t="s">
        <v>231</v>
      </c>
    </row>
    <row r="53" spans="1:18" s="11" customFormat="1" x14ac:dyDescent="0.25">
      <c r="A53" s="11" t="s">
        <v>78</v>
      </c>
      <c r="B53" s="11">
        <v>6271</v>
      </c>
      <c r="C53" s="11" t="s">
        <v>57</v>
      </c>
      <c r="D53" s="22"/>
      <c r="E53" s="12">
        <v>43009</v>
      </c>
      <c r="F53" s="13">
        <v>137.63999999999999</v>
      </c>
      <c r="G53" s="23"/>
      <c r="H53" s="13"/>
      <c r="I53" s="13"/>
      <c r="J53" s="13"/>
      <c r="K53" s="13"/>
      <c r="L53" s="14"/>
      <c r="M53" s="14">
        <v>94</v>
      </c>
      <c r="N53" s="24">
        <v>42125</v>
      </c>
      <c r="O53" s="22"/>
      <c r="P53" s="22"/>
      <c r="Q53" s="22"/>
      <c r="R53" s="22"/>
    </row>
    <row r="54" spans="1:18" x14ac:dyDescent="0.25">
      <c r="A54" t="s">
        <v>78</v>
      </c>
      <c r="B54">
        <v>5445</v>
      </c>
      <c r="C54" t="s">
        <v>58</v>
      </c>
      <c r="D54" s="16"/>
      <c r="E54" s="6">
        <v>43009</v>
      </c>
      <c r="F54" s="7">
        <v>7.35</v>
      </c>
      <c r="G54" s="19"/>
      <c r="M54" s="10">
        <f>720+90</f>
        <v>810</v>
      </c>
      <c r="N54" s="15">
        <v>43040</v>
      </c>
      <c r="O54" s="16"/>
      <c r="P54" s="16"/>
      <c r="Q54" s="16"/>
      <c r="R54" s="16"/>
    </row>
    <row r="55" spans="1:18" x14ac:dyDescent="0.25">
      <c r="A55" t="s">
        <v>78</v>
      </c>
      <c r="B55">
        <v>5345</v>
      </c>
      <c r="C55" t="s">
        <v>19</v>
      </c>
      <c r="D55" s="16"/>
      <c r="E55" s="6">
        <v>43009</v>
      </c>
      <c r="F55" s="7">
        <v>6.1</v>
      </c>
      <c r="G55" s="19"/>
      <c r="M55" s="10">
        <f>720+245.5</f>
        <v>965.5</v>
      </c>
      <c r="N55" s="15">
        <v>42156</v>
      </c>
      <c r="O55" s="16"/>
      <c r="P55" s="16"/>
      <c r="Q55" s="16"/>
      <c r="R55" s="16"/>
    </row>
    <row r="56" spans="1:18" x14ac:dyDescent="0.25">
      <c r="A56" t="s">
        <v>78</v>
      </c>
      <c r="B56">
        <v>6298</v>
      </c>
      <c r="C56" t="s">
        <v>45</v>
      </c>
      <c r="D56" s="16"/>
      <c r="E56" s="6">
        <v>43009</v>
      </c>
      <c r="F56" s="7">
        <v>5.25</v>
      </c>
      <c r="G56" s="19"/>
      <c r="M56" s="10">
        <v>420</v>
      </c>
      <c r="N56" s="15">
        <v>42156</v>
      </c>
      <c r="O56" s="16"/>
      <c r="P56" s="16"/>
      <c r="Q56" s="16"/>
      <c r="R56" s="16"/>
    </row>
    <row r="57" spans="1:18" x14ac:dyDescent="0.25">
      <c r="A57" t="s">
        <v>78</v>
      </c>
      <c r="B57">
        <v>6678</v>
      </c>
      <c r="C57" t="s">
        <v>68</v>
      </c>
      <c r="D57" s="16"/>
      <c r="E57" s="6">
        <v>43009</v>
      </c>
      <c r="F57" s="7">
        <v>7.39</v>
      </c>
      <c r="G57" s="19"/>
      <c r="M57" s="10">
        <v>57</v>
      </c>
      <c r="N57" s="15">
        <v>42156</v>
      </c>
      <c r="O57" s="16"/>
      <c r="P57" s="16"/>
      <c r="Q57" s="16"/>
      <c r="R57" s="16"/>
    </row>
    <row r="58" spans="1:18" x14ac:dyDescent="0.25">
      <c r="A58" t="s">
        <v>78</v>
      </c>
      <c r="B58">
        <v>5446</v>
      </c>
      <c r="C58" t="s">
        <v>74</v>
      </c>
      <c r="D58" s="16"/>
      <c r="E58" s="6">
        <v>43009</v>
      </c>
      <c r="F58" s="7">
        <v>7.39</v>
      </c>
      <c r="G58" s="19"/>
      <c r="M58" s="10">
        <v>24</v>
      </c>
      <c r="N58" s="15">
        <v>42156</v>
      </c>
      <c r="O58" s="16"/>
      <c r="P58" s="16"/>
      <c r="Q58" s="16"/>
      <c r="R58" s="16"/>
    </row>
    <row r="59" spans="1:18" x14ac:dyDescent="0.25">
      <c r="A59" t="s">
        <v>79</v>
      </c>
      <c r="B59">
        <v>6709</v>
      </c>
      <c r="C59" t="s">
        <v>18</v>
      </c>
      <c r="D59" s="16"/>
      <c r="E59" s="6">
        <v>43009</v>
      </c>
      <c r="F59" s="7">
        <v>6</v>
      </c>
      <c r="G59" s="19"/>
      <c r="M59" s="10">
        <v>360</v>
      </c>
      <c r="N59" s="15">
        <v>42156</v>
      </c>
      <c r="O59" s="16"/>
      <c r="P59" s="16"/>
      <c r="Q59" s="16"/>
      <c r="R59" s="16"/>
    </row>
    <row r="60" spans="1:18" x14ac:dyDescent="0.25">
      <c r="A60" t="s">
        <v>79</v>
      </c>
      <c r="B60">
        <v>6758</v>
      </c>
      <c r="C60" t="s">
        <v>43</v>
      </c>
      <c r="D60" s="16"/>
      <c r="E60" s="6">
        <v>43009</v>
      </c>
      <c r="F60" s="7">
        <v>4.5</v>
      </c>
      <c r="G60" s="19"/>
      <c r="M60" s="10">
        <v>427</v>
      </c>
      <c r="N60" s="15">
        <v>42156</v>
      </c>
      <c r="O60" s="16"/>
      <c r="P60" s="16"/>
      <c r="Q60" s="16"/>
      <c r="R60" s="16"/>
    </row>
    <row r="61" spans="1:18" x14ac:dyDescent="0.25">
      <c r="A61" t="s">
        <v>79</v>
      </c>
      <c r="B61">
        <v>6715</v>
      </c>
      <c r="C61" t="s">
        <v>44</v>
      </c>
      <c r="D61" s="16"/>
      <c r="E61" s="6">
        <v>43009</v>
      </c>
      <c r="F61" s="7">
        <v>6</v>
      </c>
      <c r="G61" s="19"/>
      <c r="M61" s="10">
        <f>2876</f>
        <v>2876</v>
      </c>
      <c r="N61" s="15">
        <v>42156</v>
      </c>
      <c r="O61" s="16"/>
      <c r="P61" s="16"/>
      <c r="Q61" s="16"/>
      <c r="R61" s="16"/>
    </row>
    <row r="62" spans="1:18" x14ac:dyDescent="0.25">
      <c r="A62" t="s">
        <v>79</v>
      </c>
      <c r="B62">
        <v>6710</v>
      </c>
      <c r="C62" t="s">
        <v>69</v>
      </c>
      <c r="D62" s="16"/>
      <c r="E62" s="6">
        <v>43009</v>
      </c>
      <c r="F62" s="7">
        <v>6</v>
      </c>
      <c r="G62" s="19"/>
      <c r="H62" s="7">
        <v>2142.5</v>
      </c>
      <c r="M62" s="10">
        <v>6781.7</v>
      </c>
      <c r="N62" s="15">
        <v>42156</v>
      </c>
      <c r="O62" s="16"/>
      <c r="P62" s="16"/>
      <c r="Q62" s="16"/>
      <c r="R62" s="16"/>
    </row>
    <row r="63" spans="1:18" x14ac:dyDescent="0.25">
      <c r="A63" t="s">
        <v>79</v>
      </c>
      <c r="B63">
        <v>6707</v>
      </c>
      <c r="C63" t="s">
        <v>70</v>
      </c>
      <c r="D63" s="16" t="s">
        <v>226</v>
      </c>
      <c r="E63" s="6">
        <v>43009</v>
      </c>
      <c r="F63" s="7">
        <v>6</v>
      </c>
      <c r="G63" s="19" t="s">
        <v>225</v>
      </c>
      <c r="H63" s="7">
        <v>4492</v>
      </c>
      <c r="J63" s="7">
        <v>160</v>
      </c>
      <c r="K63" s="9">
        <v>6</v>
      </c>
      <c r="M63" s="10">
        <f>1440+720+324+187.2+255+200</f>
        <v>3126.2</v>
      </c>
      <c r="N63" s="15">
        <v>42156</v>
      </c>
      <c r="O63" s="16" t="s">
        <v>226</v>
      </c>
      <c r="P63" s="16"/>
      <c r="Q63" s="20">
        <v>42005</v>
      </c>
      <c r="R63" s="20">
        <v>43447</v>
      </c>
    </row>
    <row r="64" spans="1:18" x14ac:dyDescent="0.25">
      <c r="A64" t="s">
        <v>80</v>
      </c>
      <c r="B64" s="18">
        <v>5231</v>
      </c>
      <c r="C64" t="s">
        <v>189</v>
      </c>
      <c r="F64" s="7">
        <v>5.28</v>
      </c>
      <c r="J64"/>
      <c r="L64" s="7"/>
      <c r="M64" s="10">
        <v>596.5</v>
      </c>
      <c r="N64" s="10"/>
    </row>
    <row r="65" spans="1:18" x14ac:dyDescent="0.25">
      <c r="A65" t="s">
        <v>80</v>
      </c>
      <c r="B65" s="18">
        <v>5160</v>
      </c>
      <c r="C65" t="s">
        <v>223</v>
      </c>
      <c r="E65" s="6">
        <v>43009</v>
      </c>
      <c r="F65" s="7">
        <v>5.35</v>
      </c>
      <c r="J65"/>
      <c r="L65" s="7"/>
      <c r="M65" s="10">
        <f>48*30</f>
        <v>1440</v>
      </c>
      <c r="P65" s="17"/>
      <c r="R65" s="20">
        <v>43465</v>
      </c>
    </row>
    <row r="66" spans="1:18" x14ac:dyDescent="0.25">
      <c r="A66" t="s">
        <v>80</v>
      </c>
      <c r="B66" s="18">
        <v>5160</v>
      </c>
      <c r="C66" t="s">
        <v>224</v>
      </c>
      <c r="E66" s="6">
        <v>43009</v>
      </c>
      <c r="F66" s="7">
        <v>5.35</v>
      </c>
      <c r="J66"/>
      <c r="L66" s="7"/>
      <c r="M66" s="10">
        <f>24*30</f>
        <v>720</v>
      </c>
      <c r="R66" s="20">
        <v>43465</v>
      </c>
    </row>
  </sheetData>
  <autoFilter ref="A1:P1"/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4"/>
  <sheetViews>
    <sheetView zoomScale="80" zoomScaleNormal="80" workbookViewId="0">
      <pane ySplit="1" topLeftCell="A119" activePane="bottomLeft" state="frozen"/>
      <selection activeCell="C23" sqref="C23"/>
      <selection pane="bottomLeft" activeCell="C8" sqref="C8"/>
    </sheetView>
  </sheetViews>
  <sheetFormatPr defaultRowHeight="15" x14ac:dyDescent="0.25"/>
  <cols>
    <col min="1" max="1" width="15.28515625" customWidth="1"/>
    <col min="2" max="2" width="15.28515625" style="16" customWidth="1"/>
    <col min="3" max="3" width="40" customWidth="1"/>
    <col min="4" max="4" width="15.42578125" style="5" customWidth="1"/>
    <col min="5" max="5" width="8.42578125" style="16" bestFit="1" customWidth="1"/>
    <col min="6" max="6" width="10.85546875" style="6" customWidth="1"/>
    <col min="7" max="11" width="10.85546875" style="7" customWidth="1"/>
    <col min="13" max="13" width="10.85546875" style="7" customWidth="1"/>
    <col min="14" max="14" width="11.5703125" style="7" bestFit="1" customWidth="1"/>
    <col min="16" max="16" width="9.5703125" style="10" bestFit="1" customWidth="1"/>
    <col min="17" max="17" width="13" bestFit="1" customWidth="1"/>
    <col min="20" max="20" width="13.140625" bestFit="1" customWidth="1"/>
    <col min="21" max="21" width="25" bestFit="1" customWidth="1"/>
  </cols>
  <sheetData>
    <row r="1" spans="1:21" s="37" customFormat="1" ht="60" x14ac:dyDescent="0.25">
      <c r="A1" s="1" t="s">
        <v>77</v>
      </c>
      <c r="B1" s="1" t="s">
        <v>0</v>
      </c>
      <c r="C1" s="2" t="s">
        <v>1</v>
      </c>
      <c r="D1" s="1" t="s">
        <v>8</v>
      </c>
      <c r="E1" s="1" t="s">
        <v>2</v>
      </c>
      <c r="F1" s="3" t="s">
        <v>3</v>
      </c>
      <c r="G1" s="4" t="s">
        <v>4</v>
      </c>
      <c r="H1" s="4" t="s">
        <v>5</v>
      </c>
      <c r="I1" s="4" t="s">
        <v>82</v>
      </c>
      <c r="J1" s="4" t="s">
        <v>34</v>
      </c>
      <c r="K1" s="4" t="s">
        <v>35</v>
      </c>
      <c r="L1" s="4" t="s">
        <v>75</v>
      </c>
      <c r="M1" s="4" t="s">
        <v>76</v>
      </c>
      <c r="N1" s="4" t="s">
        <v>175</v>
      </c>
      <c r="O1" s="4" t="s">
        <v>6</v>
      </c>
      <c r="P1" s="41" t="s">
        <v>10</v>
      </c>
      <c r="Q1" s="4" t="s">
        <v>7</v>
      </c>
      <c r="R1" s="4" t="s">
        <v>83</v>
      </c>
      <c r="S1" s="4" t="s">
        <v>84</v>
      </c>
      <c r="T1" s="4" t="s">
        <v>236</v>
      </c>
      <c r="U1" s="4" t="s">
        <v>85</v>
      </c>
    </row>
    <row r="2" spans="1:21" s="28" customFormat="1" x14ac:dyDescent="0.25">
      <c r="B2" s="27">
        <v>5051</v>
      </c>
      <c r="C2" s="28" t="s">
        <v>87</v>
      </c>
      <c r="D2" s="29">
        <f>+G2*P2</f>
        <v>4320</v>
      </c>
      <c r="E2" s="27" t="s">
        <v>242</v>
      </c>
      <c r="F2" s="30">
        <v>43009</v>
      </c>
      <c r="G2" s="31">
        <v>6</v>
      </c>
      <c r="H2" s="31"/>
      <c r="I2" s="31"/>
      <c r="J2" s="31"/>
      <c r="K2" s="31"/>
      <c r="M2" s="31"/>
      <c r="N2" s="31"/>
      <c r="P2" s="32">
        <v>720</v>
      </c>
      <c r="Q2" s="33">
        <v>4.57</v>
      </c>
    </row>
    <row r="3" spans="1:21" s="28" customFormat="1" x14ac:dyDescent="0.25">
      <c r="B3" s="27">
        <v>5149</v>
      </c>
      <c r="C3" s="28" t="s">
        <v>88</v>
      </c>
      <c r="D3" s="29">
        <f t="shared" ref="D3:D10" si="0">+G3*P3</f>
        <v>5760</v>
      </c>
      <c r="E3" s="27" t="s">
        <v>237</v>
      </c>
      <c r="F3" s="30">
        <v>43009</v>
      </c>
      <c r="G3" s="31">
        <v>8</v>
      </c>
      <c r="H3" s="31">
        <v>8.5</v>
      </c>
      <c r="I3" s="31"/>
      <c r="J3" s="31"/>
      <c r="K3" s="31"/>
      <c r="M3" s="31"/>
      <c r="N3" s="31"/>
      <c r="P3" s="32">
        <f>30*24</f>
        <v>720</v>
      </c>
      <c r="Q3" s="33"/>
      <c r="T3" s="35">
        <v>43109</v>
      </c>
      <c r="U3" s="28" t="s">
        <v>238</v>
      </c>
    </row>
    <row r="4" spans="1:21" s="28" customFormat="1" x14ac:dyDescent="0.25">
      <c r="B4" s="27">
        <v>5149</v>
      </c>
      <c r="C4" s="28" t="s">
        <v>89</v>
      </c>
      <c r="D4" s="29">
        <f t="shared" si="0"/>
        <v>4392</v>
      </c>
      <c r="E4" s="27" t="s">
        <v>237</v>
      </c>
      <c r="F4" s="30"/>
      <c r="G4" s="31">
        <v>6.1</v>
      </c>
      <c r="H4" s="31"/>
      <c r="I4" s="31"/>
      <c r="J4" s="31"/>
      <c r="K4" s="31"/>
      <c r="M4" s="31"/>
      <c r="N4" s="31"/>
      <c r="P4" s="32">
        <v>720</v>
      </c>
      <c r="Q4" s="33"/>
    </row>
    <row r="5" spans="1:21" s="28" customFormat="1" x14ac:dyDescent="0.25">
      <c r="B5" s="27">
        <v>5149</v>
      </c>
      <c r="C5" s="28" t="s">
        <v>90</v>
      </c>
      <c r="D5" s="29">
        <f t="shared" si="0"/>
        <v>5760</v>
      </c>
      <c r="E5" s="27" t="s">
        <v>237</v>
      </c>
      <c r="F5" s="30"/>
      <c r="G5" s="31">
        <v>8</v>
      </c>
      <c r="H5" s="31"/>
      <c r="I5" s="31"/>
      <c r="J5" s="31"/>
      <c r="K5" s="31"/>
      <c r="M5" s="31"/>
      <c r="N5" s="31"/>
      <c r="P5" s="32">
        <v>720</v>
      </c>
      <c r="Q5" s="33"/>
    </row>
    <row r="6" spans="1:21" s="28" customFormat="1" x14ac:dyDescent="0.25">
      <c r="B6" s="27">
        <v>5149</v>
      </c>
      <c r="C6" s="28" t="s">
        <v>91</v>
      </c>
      <c r="D6" s="29">
        <f t="shared" si="0"/>
        <v>4392</v>
      </c>
      <c r="E6" s="27" t="s">
        <v>237</v>
      </c>
      <c r="F6" s="30"/>
      <c r="G6" s="31">
        <v>6.1</v>
      </c>
      <c r="H6" s="31"/>
      <c r="I6" s="31"/>
      <c r="J6" s="31"/>
      <c r="K6" s="31"/>
      <c r="M6" s="31"/>
      <c r="N6" s="31"/>
      <c r="P6" s="32">
        <v>720</v>
      </c>
      <c r="Q6" s="33"/>
    </row>
    <row r="7" spans="1:21" s="28" customFormat="1" x14ac:dyDescent="0.25">
      <c r="B7" s="27">
        <v>5010</v>
      </c>
      <c r="C7" s="28" t="s">
        <v>92</v>
      </c>
      <c r="D7" s="29">
        <f t="shared" si="0"/>
        <v>1208.4000000000001</v>
      </c>
      <c r="E7" s="27" t="s">
        <v>237</v>
      </c>
      <c r="F7" s="30"/>
      <c r="G7" s="31">
        <v>6.36</v>
      </c>
      <c r="H7" s="31"/>
      <c r="I7" s="31"/>
      <c r="J7" s="31"/>
      <c r="K7" s="31"/>
      <c r="M7" s="31"/>
      <c r="N7" s="31"/>
      <c r="P7" s="32">
        <v>190</v>
      </c>
      <c r="Q7" s="33"/>
      <c r="T7" s="38">
        <v>41944</v>
      </c>
      <c r="U7" s="38">
        <v>43405</v>
      </c>
    </row>
    <row r="8" spans="1:21" s="28" customFormat="1" x14ac:dyDescent="0.25">
      <c r="B8" s="27">
        <v>5010</v>
      </c>
      <c r="C8" s="28" t="s">
        <v>93</v>
      </c>
      <c r="D8" s="29">
        <f t="shared" si="0"/>
        <v>30988</v>
      </c>
      <c r="E8" s="27"/>
      <c r="F8" s="30"/>
      <c r="G8" s="31">
        <v>6.1</v>
      </c>
      <c r="H8" s="31"/>
      <c r="I8" s="31"/>
      <c r="J8" s="31"/>
      <c r="K8" s="31"/>
      <c r="M8" s="31"/>
      <c r="N8" s="31"/>
      <c r="P8" s="32">
        <v>5080</v>
      </c>
      <c r="Q8" s="33"/>
    </row>
    <row r="9" spans="1:21" s="28" customFormat="1" x14ac:dyDescent="0.25">
      <c r="B9" s="27">
        <v>5010</v>
      </c>
      <c r="C9" s="28" t="s">
        <v>94</v>
      </c>
      <c r="D9" s="29">
        <f t="shared" si="0"/>
        <v>2275.2000000000003</v>
      </c>
      <c r="E9" s="27"/>
      <c r="F9" s="30"/>
      <c r="G9" s="31">
        <v>6.32</v>
      </c>
      <c r="H9" s="31"/>
      <c r="I9" s="31"/>
      <c r="J9" s="31"/>
      <c r="K9" s="31"/>
      <c r="M9" s="31"/>
      <c r="N9" s="31"/>
      <c r="P9" s="32">
        <f>12*30</f>
        <v>360</v>
      </c>
      <c r="Q9" s="33"/>
    </row>
    <row r="10" spans="1:21" s="28" customFormat="1" x14ac:dyDescent="0.25">
      <c r="B10" s="27">
        <v>5010</v>
      </c>
      <c r="C10" s="28" t="s">
        <v>95</v>
      </c>
      <c r="D10" s="29">
        <f t="shared" si="0"/>
        <v>2275.2000000000003</v>
      </c>
      <c r="E10" s="27"/>
      <c r="F10" s="30"/>
      <c r="G10" s="31">
        <v>6.32</v>
      </c>
      <c r="H10" s="31"/>
      <c r="I10" s="31"/>
      <c r="J10" s="31"/>
      <c r="K10" s="31"/>
      <c r="M10" s="31"/>
      <c r="N10" s="31"/>
      <c r="P10" s="32">
        <v>360</v>
      </c>
      <c r="Q10" s="33"/>
    </row>
    <row r="11" spans="1:21" s="28" customFormat="1" x14ac:dyDescent="0.25">
      <c r="B11" s="27">
        <v>5010</v>
      </c>
      <c r="C11" s="28" t="s">
        <v>96</v>
      </c>
      <c r="D11" s="29">
        <f t="shared" ref="D11:D14" si="1">+G11*P11</f>
        <v>2275.2000000000003</v>
      </c>
      <c r="E11" s="27"/>
      <c r="F11" s="30"/>
      <c r="G11" s="31">
        <v>6.32</v>
      </c>
      <c r="H11" s="31"/>
      <c r="I11" s="31"/>
      <c r="J11" s="31"/>
      <c r="K11" s="31"/>
      <c r="M11" s="31"/>
      <c r="N11" s="31"/>
      <c r="P11" s="32">
        <v>360</v>
      </c>
      <c r="Q11" s="33"/>
    </row>
    <row r="12" spans="1:21" s="28" customFormat="1" x14ac:dyDescent="0.25">
      <c r="B12" s="27">
        <v>5010</v>
      </c>
      <c r="C12" s="28" t="s">
        <v>97</v>
      </c>
      <c r="D12" s="29">
        <f t="shared" si="1"/>
        <v>2272.04</v>
      </c>
      <c r="E12" s="27"/>
      <c r="F12" s="30"/>
      <c r="G12" s="31">
        <v>6.32</v>
      </c>
      <c r="H12" s="31"/>
      <c r="I12" s="31"/>
      <c r="J12" s="31"/>
      <c r="K12" s="31"/>
      <c r="M12" s="31"/>
      <c r="N12" s="31"/>
      <c r="P12" s="32">
        <v>359.5</v>
      </c>
      <c r="Q12" s="33"/>
    </row>
    <row r="13" spans="1:21" s="28" customFormat="1" x14ac:dyDescent="0.25">
      <c r="B13" s="27">
        <v>5010</v>
      </c>
      <c r="C13" s="28" t="s">
        <v>98</v>
      </c>
      <c r="D13" s="29">
        <f t="shared" si="1"/>
        <v>2265.7200000000003</v>
      </c>
      <c r="E13" s="27"/>
      <c r="F13" s="30"/>
      <c r="G13" s="31">
        <v>6.32</v>
      </c>
      <c r="H13" s="31"/>
      <c r="I13" s="31"/>
      <c r="J13" s="31"/>
      <c r="K13" s="31"/>
      <c r="M13" s="31"/>
      <c r="N13" s="31"/>
      <c r="P13" s="32">
        <f>360-1.5</f>
        <v>358.5</v>
      </c>
      <c r="Q13" s="33"/>
    </row>
    <row r="14" spans="1:21" s="28" customFormat="1" x14ac:dyDescent="0.25">
      <c r="B14" s="27">
        <v>5010</v>
      </c>
      <c r="C14" s="28" t="s">
        <v>99</v>
      </c>
      <c r="D14" s="29">
        <f t="shared" si="1"/>
        <v>2275.2000000000003</v>
      </c>
      <c r="E14" s="27"/>
      <c r="F14" s="30"/>
      <c r="G14" s="31">
        <v>6.32</v>
      </c>
      <c r="H14" s="31"/>
      <c r="I14" s="31"/>
      <c r="J14" s="31"/>
      <c r="K14" s="31"/>
      <c r="M14" s="31"/>
      <c r="N14" s="31"/>
      <c r="P14" s="32">
        <v>360</v>
      </c>
      <c r="Q14" s="33"/>
    </row>
    <row r="15" spans="1:21" s="28" customFormat="1" x14ac:dyDescent="0.25">
      <c r="B15" s="27">
        <v>5010</v>
      </c>
      <c r="C15" s="28" t="s">
        <v>100</v>
      </c>
      <c r="D15" s="29">
        <f t="shared" ref="D15:D18" si="2">+G15*P15</f>
        <v>2272.04</v>
      </c>
      <c r="E15" s="27"/>
      <c r="F15" s="30"/>
      <c r="G15" s="31">
        <v>6.32</v>
      </c>
      <c r="H15" s="31"/>
      <c r="I15" s="31"/>
      <c r="J15" s="31"/>
      <c r="K15" s="31"/>
      <c r="M15" s="31"/>
      <c r="N15" s="31"/>
      <c r="P15" s="32">
        <v>359.5</v>
      </c>
      <c r="Q15" s="33"/>
    </row>
    <row r="16" spans="1:21" s="28" customFormat="1" x14ac:dyDescent="0.25">
      <c r="B16" s="27">
        <v>5010</v>
      </c>
      <c r="C16" s="28" t="s">
        <v>101</v>
      </c>
      <c r="D16" s="29">
        <f t="shared" si="2"/>
        <v>2275.2000000000003</v>
      </c>
      <c r="E16" s="27"/>
      <c r="F16" s="30"/>
      <c r="G16" s="31">
        <v>6.32</v>
      </c>
      <c r="H16" s="31"/>
      <c r="I16" s="31"/>
      <c r="J16" s="31"/>
      <c r="K16" s="31"/>
      <c r="M16" s="31"/>
      <c r="N16" s="31"/>
      <c r="P16" s="32">
        <v>360</v>
      </c>
      <c r="Q16" s="33"/>
    </row>
    <row r="17" spans="2:21" s="28" customFormat="1" x14ac:dyDescent="0.25">
      <c r="B17" s="27">
        <v>5010</v>
      </c>
      <c r="C17" s="28" t="s">
        <v>102</v>
      </c>
      <c r="D17" s="29">
        <f t="shared" si="2"/>
        <v>2275.2000000000003</v>
      </c>
      <c r="E17" s="27"/>
      <c r="F17" s="30"/>
      <c r="G17" s="31">
        <v>6.32</v>
      </c>
      <c r="H17" s="31"/>
      <c r="I17" s="31"/>
      <c r="J17" s="31"/>
      <c r="K17" s="31"/>
      <c r="M17" s="31"/>
      <c r="N17" s="31"/>
      <c r="P17" s="32">
        <v>360</v>
      </c>
      <c r="Q17" s="33"/>
    </row>
    <row r="18" spans="2:21" s="28" customFormat="1" x14ac:dyDescent="0.25">
      <c r="B18" s="27">
        <v>5010</v>
      </c>
      <c r="C18" s="28" t="s">
        <v>103</v>
      </c>
      <c r="D18" s="29">
        <f t="shared" si="2"/>
        <v>4550.4000000000005</v>
      </c>
      <c r="E18" s="27"/>
      <c r="F18" s="30"/>
      <c r="G18" s="31">
        <v>6.32</v>
      </c>
      <c r="H18" s="31"/>
      <c r="I18" s="31"/>
      <c r="J18" s="31"/>
      <c r="K18" s="31"/>
      <c r="M18" s="31"/>
      <c r="N18" s="31"/>
      <c r="P18" s="32">
        <v>720</v>
      </c>
      <c r="Q18" s="33"/>
    </row>
    <row r="19" spans="2:21" s="28" customFormat="1" x14ac:dyDescent="0.25">
      <c r="B19" s="27">
        <v>5010</v>
      </c>
      <c r="C19" s="28" t="s">
        <v>104</v>
      </c>
      <c r="D19" s="29">
        <f t="shared" ref="D19:D22" si="3">+G19*P19</f>
        <v>2265.7200000000003</v>
      </c>
      <c r="E19" s="27"/>
      <c r="F19" s="30"/>
      <c r="G19" s="31">
        <v>6.32</v>
      </c>
      <c r="H19" s="31"/>
      <c r="I19" s="31"/>
      <c r="J19" s="31"/>
      <c r="K19" s="31"/>
      <c r="M19" s="31"/>
      <c r="N19" s="31"/>
      <c r="P19" s="32">
        <f>360-1.5</f>
        <v>358.5</v>
      </c>
      <c r="Q19" s="33"/>
    </row>
    <row r="20" spans="2:21" s="28" customFormat="1" x14ac:dyDescent="0.25">
      <c r="B20" s="27">
        <v>5010</v>
      </c>
      <c r="C20" s="28" t="s">
        <v>105</v>
      </c>
      <c r="D20" s="29">
        <f t="shared" si="3"/>
        <v>2275.2000000000003</v>
      </c>
      <c r="E20" s="27"/>
      <c r="F20" s="30"/>
      <c r="G20" s="31">
        <v>6.32</v>
      </c>
      <c r="H20" s="31"/>
      <c r="I20" s="31"/>
      <c r="J20" s="31"/>
      <c r="K20" s="31"/>
      <c r="M20" s="31"/>
      <c r="N20" s="31"/>
      <c r="P20" s="32">
        <v>360</v>
      </c>
      <c r="Q20" s="33"/>
    </row>
    <row r="21" spans="2:21" s="28" customFormat="1" x14ac:dyDescent="0.25">
      <c r="B21" s="27">
        <v>5010</v>
      </c>
      <c r="C21" s="28" t="s">
        <v>106</v>
      </c>
      <c r="D21" s="29">
        <f t="shared" si="3"/>
        <v>2265.7200000000003</v>
      </c>
      <c r="E21" s="27"/>
      <c r="F21" s="30"/>
      <c r="G21" s="31">
        <v>6.32</v>
      </c>
      <c r="H21" s="31"/>
      <c r="I21" s="31"/>
      <c r="J21" s="31"/>
      <c r="K21" s="31"/>
      <c r="M21" s="31"/>
      <c r="N21" s="31"/>
      <c r="P21" s="32">
        <f>360-1.5</f>
        <v>358.5</v>
      </c>
      <c r="Q21" s="33"/>
    </row>
    <row r="22" spans="2:21" s="28" customFormat="1" x14ac:dyDescent="0.25">
      <c r="B22" s="27">
        <v>5010</v>
      </c>
      <c r="C22" s="28" t="s">
        <v>107</v>
      </c>
      <c r="D22" s="29">
        <f t="shared" si="3"/>
        <v>2275.2000000000003</v>
      </c>
      <c r="E22" s="27"/>
      <c r="F22" s="30"/>
      <c r="G22" s="31">
        <v>6.32</v>
      </c>
      <c r="H22" s="31"/>
      <c r="I22" s="31"/>
      <c r="J22" s="31"/>
      <c r="K22" s="31"/>
      <c r="M22" s="31"/>
      <c r="N22" s="31"/>
      <c r="P22" s="32">
        <v>360</v>
      </c>
      <c r="Q22" s="33"/>
    </row>
    <row r="23" spans="2:21" s="28" customFormat="1" x14ac:dyDescent="0.25">
      <c r="B23" s="27">
        <v>5010</v>
      </c>
      <c r="C23" s="28" t="s">
        <v>108</v>
      </c>
      <c r="D23" s="29">
        <f t="shared" ref="D23" si="4">+G23*P23</f>
        <v>2272.04</v>
      </c>
      <c r="E23" s="27"/>
      <c r="F23" s="30"/>
      <c r="G23" s="31">
        <v>6.32</v>
      </c>
      <c r="H23" s="31"/>
      <c r="I23" s="31"/>
      <c r="J23" s="31"/>
      <c r="K23" s="31"/>
      <c r="M23" s="31"/>
      <c r="N23" s="31"/>
      <c r="P23" s="32">
        <v>359.5</v>
      </c>
      <c r="Q23" s="33"/>
    </row>
    <row r="24" spans="2:21" s="28" customFormat="1" x14ac:dyDescent="0.25">
      <c r="B24" s="27">
        <v>5010</v>
      </c>
      <c r="C24" s="28" t="s">
        <v>109</v>
      </c>
      <c r="D24" s="29">
        <f>+J24*K24</f>
        <v>14320.8</v>
      </c>
      <c r="E24" s="27"/>
      <c r="F24" s="30"/>
      <c r="G24" s="31"/>
      <c r="H24" s="31"/>
      <c r="I24" s="31"/>
      <c r="J24" s="31">
        <v>28.08</v>
      </c>
      <c r="K24" s="34">
        <f>17*30</f>
        <v>510</v>
      </c>
      <c r="M24" s="31"/>
      <c r="N24" s="31"/>
      <c r="P24" s="32"/>
      <c r="Q24" s="33"/>
    </row>
    <row r="25" spans="2:21" s="28" customFormat="1" x14ac:dyDescent="0.25">
      <c r="B25" s="27">
        <v>5010</v>
      </c>
      <c r="C25" s="28" t="s">
        <v>110</v>
      </c>
      <c r="D25" s="29">
        <f>+J25*K25</f>
        <v>1080</v>
      </c>
      <c r="E25" s="27"/>
      <c r="F25" s="30"/>
      <c r="G25" s="31"/>
      <c r="H25" s="31"/>
      <c r="I25" s="31"/>
      <c r="J25" s="31">
        <v>18</v>
      </c>
      <c r="K25" s="34">
        <f>2*30</f>
        <v>60</v>
      </c>
      <c r="M25" s="31"/>
      <c r="N25" s="31"/>
      <c r="P25" s="32"/>
      <c r="Q25" s="33"/>
    </row>
    <row r="26" spans="2:21" s="28" customFormat="1" x14ac:dyDescent="0.25">
      <c r="B26" s="27">
        <v>2042</v>
      </c>
      <c r="C26" s="28" t="s">
        <v>156</v>
      </c>
      <c r="D26" s="29">
        <f t="shared" ref="D26:D41" si="5">+G26*P26</f>
        <v>1043.0999999999999</v>
      </c>
      <c r="E26" s="27" t="s">
        <v>242</v>
      </c>
      <c r="F26" s="30">
        <v>43009</v>
      </c>
      <c r="G26" s="31">
        <v>6.1</v>
      </c>
      <c r="H26" s="31"/>
      <c r="I26" s="31"/>
      <c r="J26" s="31"/>
      <c r="K26" s="31"/>
      <c r="M26" s="31"/>
      <c r="N26" s="31"/>
      <c r="P26" s="32">
        <f>9*19</f>
        <v>171</v>
      </c>
      <c r="Q26" s="33">
        <v>5.62</v>
      </c>
    </row>
    <row r="27" spans="2:21" s="28" customFormat="1" x14ac:dyDescent="0.25">
      <c r="B27" s="27">
        <v>2055</v>
      </c>
      <c r="C27" s="28" t="s">
        <v>130</v>
      </c>
      <c r="D27" s="29">
        <f t="shared" si="5"/>
        <v>2565</v>
      </c>
      <c r="E27" s="27" t="s">
        <v>237</v>
      </c>
      <c r="F27" s="30">
        <v>43009</v>
      </c>
      <c r="G27" s="31">
        <v>6.84</v>
      </c>
      <c r="H27" s="31"/>
      <c r="I27" s="31"/>
      <c r="J27" s="31"/>
      <c r="K27" s="31"/>
      <c r="M27" s="31"/>
      <c r="N27" s="31"/>
      <c r="P27" s="32">
        <f>12.5*30</f>
        <v>375</v>
      </c>
      <c r="Q27" s="33">
        <v>6.58</v>
      </c>
      <c r="R27" s="28" t="s">
        <v>237</v>
      </c>
      <c r="T27" s="28" t="s">
        <v>239</v>
      </c>
      <c r="U27" s="28" t="s">
        <v>240</v>
      </c>
    </row>
    <row r="28" spans="2:21" s="28" customFormat="1" x14ac:dyDescent="0.25">
      <c r="B28" s="27">
        <v>2057</v>
      </c>
      <c r="C28" s="28" t="s">
        <v>182</v>
      </c>
      <c r="D28" s="29">
        <f t="shared" si="5"/>
        <v>4392</v>
      </c>
      <c r="E28" s="27" t="s">
        <v>242</v>
      </c>
      <c r="F28" s="30">
        <v>43009</v>
      </c>
      <c r="G28" s="31">
        <v>6.1</v>
      </c>
      <c r="H28" s="31"/>
      <c r="I28" s="31"/>
      <c r="J28" s="31"/>
      <c r="K28" s="31"/>
      <c r="M28" s="31"/>
      <c r="N28" s="31"/>
      <c r="P28" s="32">
        <v>720</v>
      </c>
      <c r="Q28" s="33">
        <v>4.75</v>
      </c>
      <c r="R28" s="28" t="s">
        <v>237</v>
      </c>
    </row>
    <row r="29" spans="2:21" s="28" customFormat="1" x14ac:dyDescent="0.25">
      <c r="B29" s="27">
        <v>2060</v>
      </c>
      <c r="C29" s="28" t="s">
        <v>120</v>
      </c>
      <c r="D29" s="29">
        <f t="shared" si="5"/>
        <v>4392</v>
      </c>
      <c r="E29" s="27" t="s">
        <v>242</v>
      </c>
      <c r="F29" s="30">
        <v>43009</v>
      </c>
      <c r="G29" s="31">
        <v>6.1</v>
      </c>
      <c r="H29" s="31"/>
      <c r="I29" s="31"/>
      <c r="J29" s="31"/>
      <c r="K29" s="31"/>
      <c r="M29" s="31"/>
      <c r="N29" s="31"/>
      <c r="P29" s="32">
        <v>720</v>
      </c>
      <c r="Q29" s="33">
        <v>4.6500000000000004</v>
      </c>
    </row>
    <row r="30" spans="2:21" s="28" customFormat="1" x14ac:dyDescent="0.25">
      <c r="B30" s="27">
        <v>2060</v>
      </c>
      <c r="C30" s="28" t="s">
        <v>121</v>
      </c>
      <c r="D30" s="29">
        <f t="shared" si="5"/>
        <v>4392</v>
      </c>
      <c r="E30" s="27" t="s">
        <v>237</v>
      </c>
      <c r="F30" s="30">
        <v>43009</v>
      </c>
      <c r="G30" s="31">
        <v>6.1</v>
      </c>
      <c r="H30" s="31"/>
      <c r="I30" s="31"/>
      <c r="J30" s="31"/>
      <c r="K30" s="31"/>
      <c r="M30" s="31"/>
      <c r="N30" s="31"/>
      <c r="P30" s="32">
        <v>720</v>
      </c>
      <c r="Q30" s="33">
        <v>4.75</v>
      </c>
      <c r="T30" s="35">
        <v>42071</v>
      </c>
      <c r="U30" s="28" t="s">
        <v>240</v>
      </c>
    </row>
    <row r="31" spans="2:21" s="28" customFormat="1" x14ac:dyDescent="0.25">
      <c r="B31" s="27">
        <v>2060</v>
      </c>
      <c r="C31" s="28" t="s">
        <v>218</v>
      </c>
      <c r="D31" s="29">
        <f t="shared" si="5"/>
        <v>4428</v>
      </c>
      <c r="E31" s="27" t="s">
        <v>242</v>
      </c>
      <c r="F31" s="30"/>
      <c r="G31" s="31">
        <v>6.15</v>
      </c>
      <c r="H31" s="31"/>
      <c r="I31" s="31"/>
      <c r="J31" s="31"/>
      <c r="K31" s="31"/>
      <c r="M31" s="31"/>
      <c r="N31" s="31"/>
      <c r="P31" s="32">
        <v>720</v>
      </c>
      <c r="Q31" s="33"/>
    </row>
    <row r="32" spans="2:21" s="28" customFormat="1" x14ac:dyDescent="0.25">
      <c r="B32" s="27">
        <v>2084</v>
      </c>
      <c r="C32" s="28" t="s">
        <v>196</v>
      </c>
      <c r="D32" s="29">
        <f t="shared" si="5"/>
        <v>1159</v>
      </c>
      <c r="E32" s="27" t="s">
        <v>237</v>
      </c>
      <c r="F32" s="30">
        <v>43009</v>
      </c>
      <c r="G32" s="31">
        <v>6.1</v>
      </c>
      <c r="H32" s="31">
        <v>8</v>
      </c>
      <c r="I32" s="31"/>
      <c r="J32" s="31"/>
      <c r="K32" s="34"/>
      <c r="M32" s="31"/>
      <c r="N32" s="31"/>
      <c r="P32" s="32">
        <v>190</v>
      </c>
      <c r="Q32" s="33">
        <v>5.15</v>
      </c>
      <c r="R32" s="28" t="s">
        <v>237</v>
      </c>
      <c r="T32" s="28" t="s">
        <v>244</v>
      </c>
      <c r="U32" s="28" t="s">
        <v>245</v>
      </c>
    </row>
    <row r="33" spans="2:21" s="28" customFormat="1" x14ac:dyDescent="0.25">
      <c r="B33" s="27">
        <v>2084</v>
      </c>
      <c r="C33" s="28" t="s">
        <v>197</v>
      </c>
      <c r="D33" s="29">
        <f t="shared" si="5"/>
        <v>793.8</v>
      </c>
      <c r="E33" s="27"/>
      <c r="F33" s="30"/>
      <c r="G33" s="31">
        <v>6.3</v>
      </c>
      <c r="H33" s="31"/>
      <c r="I33" s="31"/>
      <c r="J33" s="31"/>
      <c r="K33" s="34"/>
      <c r="M33" s="31"/>
      <c r="N33" s="31"/>
      <c r="P33" s="32">
        <f>9*14</f>
        <v>126</v>
      </c>
      <c r="Q33" s="33"/>
    </row>
    <row r="34" spans="2:21" s="28" customFormat="1" x14ac:dyDescent="0.25">
      <c r="B34" s="27">
        <v>2340</v>
      </c>
      <c r="C34" s="28" t="s">
        <v>199</v>
      </c>
      <c r="D34" s="29">
        <f t="shared" si="5"/>
        <v>268.39999999999998</v>
      </c>
      <c r="E34" s="27" t="s">
        <v>242</v>
      </c>
      <c r="F34" s="30">
        <v>43009</v>
      </c>
      <c r="G34" s="31">
        <v>6.1</v>
      </c>
      <c r="H34" s="31"/>
      <c r="I34" s="31"/>
      <c r="J34" s="31"/>
      <c r="K34" s="34"/>
      <c r="M34" s="31"/>
      <c r="N34" s="31"/>
      <c r="P34" s="32">
        <v>44</v>
      </c>
      <c r="Q34" s="33">
        <v>5</v>
      </c>
    </row>
    <row r="35" spans="2:21" s="28" customFormat="1" x14ac:dyDescent="0.25">
      <c r="B35" s="27">
        <v>3065</v>
      </c>
      <c r="C35" s="28" t="s">
        <v>150</v>
      </c>
      <c r="D35" s="29">
        <f t="shared" si="5"/>
        <v>4377.6000000000004</v>
      </c>
      <c r="E35" s="27" t="s">
        <v>237</v>
      </c>
      <c r="F35" s="30"/>
      <c r="G35" s="31">
        <v>6.08</v>
      </c>
      <c r="H35" s="31"/>
      <c r="I35" s="31"/>
      <c r="J35" s="31"/>
      <c r="K35" s="31"/>
      <c r="M35" s="31"/>
      <c r="N35" s="31"/>
      <c r="P35" s="32">
        <v>720</v>
      </c>
      <c r="Q35" s="33"/>
      <c r="R35" s="28" t="s">
        <v>237</v>
      </c>
      <c r="T35" s="35">
        <v>42736</v>
      </c>
      <c r="U35" s="28" t="s">
        <v>257</v>
      </c>
    </row>
    <row r="36" spans="2:21" s="28" customFormat="1" x14ac:dyDescent="0.25">
      <c r="B36" s="27">
        <v>3065</v>
      </c>
      <c r="C36" s="28" t="s">
        <v>151</v>
      </c>
      <c r="D36" s="29">
        <f t="shared" si="5"/>
        <v>2188.8000000000002</v>
      </c>
      <c r="E36" s="27"/>
      <c r="F36" s="30"/>
      <c r="G36" s="31">
        <v>6.08</v>
      </c>
      <c r="H36" s="31"/>
      <c r="I36" s="31"/>
      <c r="J36" s="31"/>
      <c r="K36" s="31"/>
      <c r="M36" s="31"/>
      <c r="N36" s="31"/>
      <c r="P36" s="32">
        <v>360</v>
      </c>
      <c r="Q36" s="33"/>
    </row>
    <row r="37" spans="2:21" s="28" customFormat="1" x14ac:dyDescent="0.25">
      <c r="B37" s="27">
        <v>3065</v>
      </c>
      <c r="C37" s="28" t="s">
        <v>152</v>
      </c>
      <c r="D37" s="29">
        <f t="shared" si="5"/>
        <v>2188.8000000000002</v>
      </c>
      <c r="E37" s="27"/>
      <c r="F37" s="30"/>
      <c r="G37" s="31">
        <v>6.08</v>
      </c>
      <c r="H37" s="31"/>
      <c r="I37" s="31"/>
      <c r="J37" s="31"/>
      <c r="K37" s="31"/>
      <c r="M37" s="31"/>
      <c r="N37" s="31"/>
      <c r="P37" s="32">
        <v>360</v>
      </c>
      <c r="Q37" s="33"/>
    </row>
    <row r="38" spans="2:21" s="28" customFormat="1" x14ac:dyDescent="0.25">
      <c r="B38" s="27">
        <v>3065</v>
      </c>
      <c r="C38" s="28" t="s">
        <v>153</v>
      </c>
      <c r="D38" s="29">
        <f t="shared" si="5"/>
        <v>2188.8000000000002</v>
      </c>
      <c r="E38" s="27"/>
      <c r="F38" s="30"/>
      <c r="G38" s="31">
        <v>6.08</v>
      </c>
      <c r="H38" s="31"/>
      <c r="I38" s="31"/>
      <c r="J38" s="31"/>
      <c r="K38" s="31"/>
      <c r="M38" s="31"/>
      <c r="N38" s="31"/>
      <c r="P38" s="32">
        <v>360</v>
      </c>
      <c r="Q38" s="33"/>
    </row>
    <row r="39" spans="2:21" s="28" customFormat="1" x14ac:dyDescent="0.25">
      <c r="B39" s="27">
        <v>3065</v>
      </c>
      <c r="C39" s="28" t="s">
        <v>154</v>
      </c>
      <c r="D39" s="29">
        <f t="shared" si="5"/>
        <v>4377.6000000000004</v>
      </c>
      <c r="E39" s="27"/>
      <c r="F39" s="30"/>
      <c r="G39" s="31">
        <v>6.08</v>
      </c>
      <c r="H39" s="31"/>
      <c r="I39" s="31"/>
      <c r="J39" s="31"/>
      <c r="K39" s="31"/>
      <c r="M39" s="31"/>
      <c r="N39" s="31"/>
      <c r="P39" s="32">
        <v>720</v>
      </c>
      <c r="Q39" s="33"/>
    </row>
    <row r="40" spans="2:21" s="28" customFormat="1" x14ac:dyDescent="0.25">
      <c r="B40" s="27">
        <v>9786</v>
      </c>
      <c r="C40" s="28" t="s">
        <v>209</v>
      </c>
      <c r="D40" s="29">
        <f t="shared" si="5"/>
        <v>5025.6000000000004</v>
      </c>
      <c r="E40" s="27"/>
      <c r="F40" s="30"/>
      <c r="G40" s="31">
        <v>10.47</v>
      </c>
      <c r="H40" s="31"/>
      <c r="I40" s="31"/>
      <c r="J40" s="31"/>
      <c r="K40" s="31"/>
      <c r="M40" s="31"/>
      <c r="N40" s="31"/>
      <c r="P40" s="32">
        <f>16*30</f>
        <v>480</v>
      </c>
      <c r="Q40" s="33"/>
    </row>
    <row r="41" spans="2:21" s="28" customFormat="1" x14ac:dyDescent="0.25">
      <c r="B41" s="27">
        <v>5002</v>
      </c>
      <c r="C41" s="28" t="s">
        <v>205</v>
      </c>
      <c r="D41" s="29">
        <f t="shared" si="5"/>
        <v>3936.7200000000003</v>
      </c>
      <c r="E41" s="27" t="s">
        <v>242</v>
      </c>
      <c r="F41" s="30"/>
      <c r="G41" s="31">
        <v>10.47</v>
      </c>
      <c r="H41" s="31"/>
      <c r="I41" s="31"/>
      <c r="J41" s="31"/>
      <c r="K41" s="34"/>
      <c r="M41" s="31"/>
      <c r="N41" s="31"/>
      <c r="P41" s="32">
        <f>145+231</f>
        <v>376</v>
      </c>
      <c r="Q41" s="33"/>
    </row>
    <row r="42" spans="2:21" s="28" customFormat="1" x14ac:dyDescent="0.25">
      <c r="B42" s="27">
        <v>5002</v>
      </c>
      <c r="C42" s="28" t="s">
        <v>206</v>
      </c>
      <c r="D42" s="29">
        <f>J42*K42</f>
        <v>5025.6000000000004</v>
      </c>
      <c r="E42" s="27"/>
      <c r="F42" s="30"/>
      <c r="G42" s="31"/>
      <c r="H42" s="31"/>
      <c r="I42" s="31"/>
      <c r="J42" s="31">
        <v>251.28</v>
      </c>
      <c r="K42" s="34">
        <f>20</f>
        <v>20</v>
      </c>
      <c r="M42" s="31"/>
      <c r="N42" s="31"/>
      <c r="P42" s="32"/>
      <c r="Q42" s="33"/>
    </row>
    <row r="43" spans="2:21" s="28" customFormat="1" x14ac:dyDescent="0.25">
      <c r="B43" s="27">
        <v>5002</v>
      </c>
      <c r="C43" s="28" t="s">
        <v>207</v>
      </c>
      <c r="D43" s="29">
        <f>J43*K43</f>
        <v>6784.56</v>
      </c>
      <c r="E43" s="27"/>
      <c r="F43" s="30"/>
      <c r="G43" s="31"/>
      <c r="H43" s="31"/>
      <c r="I43" s="31"/>
      <c r="J43" s="31">
        <v>188.46</v>
      </c>
      <c r="K43" s="34">
        <f>36</f>
        <v>36</v>
      </c>
      <c r="M43" s="31"/>
      <c r="N43" s="31"/>
      <c r="P43" s="32"/>
      <c r="Q43" s="33"/>
    </row>
    <row r="44" spans="2:21" s="28" customFormat="1" x14ac:dyDescent="0.25">
      <c r="B44" s="27">
        <v>5002</v>
      </c>
      <c r="C44" s="28" t="s">
        <v>208</v>
      </c>
      <c r="D44" s="29">
        <f t="shared" ref="D44:D49" si="6">+G44*P44</f>
        <v>863.55</v>
      </c>
      <c r="E44" s="27"/>
      <c r="F44" s="30"/>
      <c r="G44" s="31">
        <v>5.05</v>
      </c>
      <c r="H44" s="31"/>
      <c r="I44" s="31"/>
      <c r="J44" s="31"/>
      <c r="K44" s="34"/>
      <c r="M44" s="31"/>
      <c r="N44" s="31"/>
      <c r="P44" s="32">
        <f>19*9</f>
        <v>171</v>
      </c>
      <c r="Q44" s="33"/>
    </row>
    <row r="45" spans="2:21" s="28" customFormat="1" x14ac:dyDescent="0.25">
      <c r="B45" s="27">
        <v>5007</v>
      </c>
      <c r="C45" s="28" t="s">
        <v>170</v>
      </c>
      <c r="D45" s="29">
        <f t="shared" si="6"/>
        <v>33937.800000000003</v>
      </c>
      <c r="E45" s="27" t="s">
        <v>237</v>
      </c>
      <c r="F45" s="30">
        <v>43282</v>
      </c>
      <c r="G45" s="31">
        <v>7.41</v>
      </c>
      <c r="H45" s="31"/>
      <c r="I45" s="31"/>
      <c r="J45" s="31"/>
      <c r="K45" s="31"/>
      <c r="M45" s="31"/>
      <c r="N45" s="31"/>
      <c r="P45" s="32">
        <v>4580</v>
      </c>
      <c r="Q45" s="33">
        <v>7.24</v>
      </c>
      <c r="T45" s="28" t="s">
        <v>261</v>
      </c>
      <c r="U45" s="28" t="s">
        <v>262</v>
      </c>
    </row>
    <row r="46" spans="2:21" s="28" customFormat="1" x14ac:dyDescent="0.25">
      <c r="B46" s="27">
        <v>5007</v>
      </c>
      <c r="C46" s="28" t="s">
        <v>171</v>
      </c>
      <c r="D46" s="29">
        <f t="shared" si="6"/>
        <v>30847.7</v>
      </c>
      <c r="E46" s="27"/>
      <c r="F46" s="30"/>
      <c r="G46" s="31">
        <v>7.78</v>
      </c>
      <c r="H46" s="31"/>
      <c r="I46" s="31"/>
      <c r="J46" s="31"/>
      <c r="K46" s="31"/>
      <c r="M46" s="31"/>
      <c r="N46" s="31"/>
      <c r="P46" s="32">
        <v>3965</v>
      </c>
      <c r="Q46" s="33">
        <v>7.6</v>
      </c>
    </row>
    <row r="47" spans="2:21" s="28" customFormat="1" x14ac:dyDescent="0.25">
      <c r="B47" s="27">
        <v>5007</v>
      </c>
      <c r="C47" s="28" t="s">
        <v>172</v>
      </c>
      <c r="D47" s="29">
        <f t="shared" si="6"/>
        <v>5875.2</v>
      </c>
      <c r="E47" s="27"/>
      <c r="F47" s="30"/>
      <c r="G47" s="31">
        <v>8.16</v>
      </c>
      <c r="H47" s="31"/>
      <c r="I47" s="31"/>
      <c r="J47" s="31"/>
      <c r="K47" s="31"/>
      <c r="M47" s="31"/>
      <c r="N47" s="31"/>
      <c r="P47" s="32">
        <v>720</v>
      </c>
      <c r="Q47" s="33">
        <v>7.97</v>
      </c>
    </row>
    <row r="48" spans="2:21" s="28" customFormat="1" x14ac:dyDescent="0.25">
      <c r="B48" s="27">
        <v>5007</v>
      </c>
      <c r="C48" s="28" t="s">
        <v>173</v>
      </c>
      <c r="D48" s="29">
        <f t="shared" si="6"/>
        <v>1539.7600000000002</v>
      </c>
      <c r="E48" s="27"/>
      <c r="F48" s="30"/>
      <c r="G48" s="31">
        <v>10.130000000000001</v>
      </c>
      <c r="H48" s="31"/>
      <c r="I48" s="31"/>
      <c r="J48" s="31"/>
      <c r="K48" s="31"/>
      <c r="M48" s="31"/>
      <c r="N48" s="31"/>
      <c r="P48" s="32">
        <v>152</v>
      </c>
      <c r="Q48" s="33">
        <v>9.83</v>
      </c>
    </row>
    <row r="49" spans="2:21" s="28" customFormat="1" x14ac:dyDescent="0.25">
      <c r="B49" s="27">
        <v>5007</v>
      </c>
      <c r="C49" s="28" t="s">
        <v>174</v>
      </c>
      <c r="D49" s="29">
        <f t="shared" si="6"/>
        <v>11937.599999999999</v>
      </c>
      <c r="E49" s="27"/>
      <c r="F49" s="30"/>
      <c r="G49" s="31">
        <v>8.2899999999999991</v>
      </c>
      <c r="H49" s="31"/>
      <c r="I49" s="31"/>
      <c r="J49" s="31"/>
      <c r="K49" s="31"/>
      <c r="M49" s="31"/>
      <c r="N49" s="31"/>
      <c r="P49" s="32">
        <v>1440</v>
      </c>
      <c r="Q49" s="33">
        <v>8.1</v>
      </c>
    </row>
    <row r="50" spans="2:21" s="28" customFormat="1" x14ac:dyDescent="0.25">
      <c r="B50" s="27">
        <v>5007</v>
      </c>
      <c r="C50" s="28" t="s">
        <v>176</v>
      </c>
      <c r="D50" s="29">
        <f>+N50</f>
        <v>11804.490000000002</v>
      </c>
      <c r="E50" s="27"/>
      <c r="F50" s="30"/>
      <c r="G50" s="31"/>
      <c r="H50" s="31"/>
      <c r="I50" s="31"/>
      <c r="J50" s="31"/>
      <c r="K50" s="31"/>
      <c r="M50" s="31"/>
      <c r="N50" s="31">
        <f>10429.87+1000+328.75+45.87</f>
        <v>11804.490000000002</v>
      </c>
      <c r="P50" s="32"/>
      <c r="Q50" s="33"/>
    </row>
    <row r="51" spans="2:21" s="28" customFormat="1" x14ac:dyDescent="0.25">
      <c r="B51" s="27">
        <v>5007</v>
      </c>
      <c r="C51" s="28" t="s">
        <v>177</v>
      </c>
      <c r="D51" s="29">
        <f t="shared" ref="D51:D67" si="7">+G51*P51</f>
        <v>6476.85</v>
      </c>
      <c r="E51" s="27"/>
      <c r="F51" s="30"/>
      <c r="G51" s="31">
        <v>7.78</v>
      </c>
      <c r="H51" s="31"/>
      <c r="I51" s="31"/>
      <c r="J51" s="31"/>
      <c r="K51" s="31"/>
      <c r="M51" s="31"/>
      <c r="N51" s="31"/>
      <c r="P51" s="32">
        <v>832.5</v>
      </c>
      <c r="Q51" s="33"/>
    </row>
    <row r="52" spans="2:21" s="28" customFormat="1" x14ac:dyDescent="0.25">
      <c r="B52" s="27">
        <v>5794</v>
      </c>
      <c r="C52" s="28" t="s">
        <v>119</v>
      </c>
      <c r="D52" s="29">
        <f>+G52*P52</f>
        <v>4392</v>
      </c>
      <c r="E52" s="27" t="s">
        <v>237</v>
      </c>
      <c r="F52" s="30">
        <v>43009</v>
      </c>
      <c r="G52" s="31">
        <v>6.1</v>
      </c>
      <c r="H52" s="31"/>
      <c r="I52" s="31"/>
      <c r="J52" s="31"/>
      <c r="K52" s="31"/>
      <c r="M52" s="31"/>
      <c r="N52" s="31"/>
      <c r="P52" s="32">
        <v>720</v>
      </c>
      <c r="Q52" s="33">
        <v>4.6500000000000004</v>
      </c>
      <c r="R52" s="28" t="s">
        <v>237</v>
      </c>
      <c r="T52" s="35">
        <v>42378</v>
      </c>
      <c r="U52" s="28" t="s">
        <v>246</v>
      </c>
    </row>
    <row r="53" spans="2:21" s="28" customFormat="1" x14ac:dyDescent="0.25">
      <c r="B53" s="27">
        <v>9907</v>
      </c>
      <c r="C53" s="28" t="s">
        <v>221</v>
      </c>
      <c r="D53" s="29">
        <f>+G53*P53</f>
        <v>3367.2</v>
      </c>
      <c r="E53" s="27" t="s">
        <v>237</v>
      </c>
      <c r="F53" s="30"/>
      <c r="G53" s="31">
        <v>6.1</v>
      </c>
      <c r="H53" s="31"/>
      <c r="I53" s="31"/>
      <c r="J53" s="31"/>
      <c r="K53" s="31"/>
      <c r="M53" s="31"/>
      <c r="N53" s="31"/>
      <c r="P53" s="32">
        <f>23*24</f>
        <v>552</v>
      </c>
      <c r="Q53" s="33"/>
      <c r="R53" s="28" t="s">
        <v>237</v>
      </c>
      <c r="T53" s="35">
        <v>43260</v>
      </c>
      <c r="U53" s="28" t="s">
        <v>240</v>
      </c>
    </row>
    <row r="54" spans="2:21" s="28" customFormat="1" x14ac:dyDescent="0.25">
      <c r="B54" s="27">
        <v>3034</v>
      </c>
      <c r="C54" s="28" t="s">
        <v>117</v>
      </c>
      <c r="D54" s="29">
        <f>+G54*P54</f>
        <v>4392</v>
      </c>
      <c r="E54" s="27" t="s">
        <v>242</v>
      </c>
      <c r="F54" s="30">
        <v>43009</v>
      </c>
      <c r="G54" s="31">
        <v>6.1</v>
      </c>
      <c r="H54" s="31"/>
      <c r="I54" s="31"/>
      <c r="J54" s="31"/>
      <c r="K54" s="31"/>
      <c r="M54" s="31"/>
      <c r="N54" s="31"/>
      <c r="P54" s="32">
        <f>24*30</f>
        <v>720</v>
      </c>
      <c r="Q54" s="33">
        <v>4.6500000000000004</v>
      </c>
    </row>
    <row r="55" spans="2:21" s="28" customFormat="1" x14ac:dyDescent="0.25">
      <c r="B55" s="27">
        <v>9004</v>
      </c>
      <c r="C55" s="28" t="s">
        <v>216</v>
      </c>
      <c r="D55" s="29">
        <f>+G55*P55</f>
        <v>4428</v>
      </c>
      <c r="E55" s="27" t="s">
        <v>242</v>
      </c>
      <c r="F55" s="30"/>
      <c r="G55" s="31">
        <v>6.15</v>
      </c>
      <c r="H55" s="31"/>
      <c r="I55" s="31"/>
      <c r="J55" s="31"/>
      <c r="K55" s="31"/>
      <c r="M55" s="31"/>
      <c r="N55" s="31"/>
      <c r="P55" s="32">
        <v>720</v>
      </c>
      <c r="Q55" s="33"/>
    </row>
    <row r="56" spans="2:21" s="28" customFormat="1" x14ac:dyDescent="0.25">
      <c r="B56" s="27">
        <v>5015</v>
      </c>
      <c r="C56" s="28" t="s">
        <v>113</v>
      </c>
      <c r="D56" s="29">
        <f t="shared" si="7"/>
        <v>4392</v>
      </c>
      <c r="E56" s="27" t="s">
        <v>242</v>
      </c>
      <c r="F56" s="30">
        <v>43009</v>
      </c>
      <c r="G56" s="31">
        <v>6.1</v>
      </c>
      <c r="H56" s="31"/>
      <c r="I56" s="31"/>
      <c r="J56" s="31"/>
      <c r="K56" s="31"/>
      <c r="M56" s="31"/>
      <c r="N56" s="31"/>
      <c r="P56" s="32">
        <v>720</v>
      </c>
      <c r="Q56" s="33">
        <v>4.6500000000000004</v>
      </c>
    </row>
    <row r="57" spans="2:21" s="28" customFormat="1" x14ac:dyDescent="0.25">
      <c r="B57" s="27">
        <v>5019</v>
      </c>
      <c r="C57" s="28" t="s">
        <v>115</v>
      </c>
      <c r="D57" s="29">
        <f t="shared" si="7"/>
        <v>4373.7</v>
      </c>
      <c r="E57" s="27" t="s">
        <v>242</v>
      </c>
      <c r="F57" s="30">
        <v>43009</v>
      </c>
      <c r="G57" s="31">
        <v>6.1</v>
      </c>
      <c r="H57" s="31"/>
      <c r="I57" s="31"/>
      <c r="J57" s="31"/>
      <c r="K57" s="31"/>
      <c r="M57" s="31"/>
      <c r="N57" s="31"/>
      <c r="P57" s="32">
        <f>720-3</f>
        <v>717</v>
      </c>
      <c r="Q57" s="33">
        <v>4.6500000000000004</v>
      </c>
    </row>
    <row r="58" spans="2:21" s="28" customFormat="1" x14ac:dyDescent="0.25">
      <c r="B58" s="27">
        <v>5020</v>
      </c>
      <c r="C58" s="28" t="s">
        <v>116</v>
      </c>
      <c r="D58" s="29">
        <f t="shared" si="7"/>
        <v>2196</v>
      </c>
      <c r="E58" s="27" t="s">
        <v>242</v>
      </c>
      <c r="F58" s="30">
        <v>43009</v>
      </c>
      <c r="G58" s="31">
        <v>6.1</v>
      </c>
      <c r="H58" s="31"/>
      <c r="I58" s="31"/>
      <c r="J58" s="31"/>
      <c r="K58" s="31"/>
      <c r="M58" s="31"/>
      <c r="N58" s="31"/>
      <c r="P58" s="32">
        <f>30*12</f>
        <v>360</v>
      </c>
      <c r="Q58" s="33">
        <v>5.72</v>
      </c>
    </row>
    <row r="59" spans="2:21" s="28" customFormat="1" x14ac:dyDescent="0.25">
      <c r="B59" s="27">
        <v>5022</v>
      </c>
      <c r="C59" s="28" t="s">
        <v>118</v>
      </c>
      <c r="D59" s="29">
        <f>+G59*P59</f>
        <v>4392</v>
      </c>
      <c r="E59" s="27" t="s">
        <v>242</v>
      </c>
      <c r="F59" s="30">
        <v>43009</v>
      </c>
      <c r="G59" s="31">
        <v>6.1</v>
      </c>
      <c r="H59" s="31"/>
      <c r="I59" s="31"/>
      <c r="J59" s="31"/>
      <c r="K59" s="31"/>
      <c r="M59" s="31"/>
      <c r="N59" s="31"/>
      <c r="P59" s="32">
        <v>720</v>
      </c>
      <c r="Q59" s="33">
        <v>4.6500000000000004</v>
      </c>
    </row>
    <row r="60" spans="2:21" s="28" customFormat="1" x14ac:dyDescent="0.25">
      <c r="B60" s="27">
        <v>9905</v>
      </c>
      <c r="C60" s="28" t="s">
        <v>217</v>
      </c>
      <c r="D60" s="29">
        <f>+G60*P60</f>
        <v>5760</v>
      </c>
      <c r="E60" s="27" t="s">
        <v>242</v>
      </c>
      <c r="F60" s="30"/>
      <c r="G60" s="31">
        <v>8</v>
      </c>
      <c r="H60" s="31"/>
      <c r="I60" s="31"/>
      <c r="J60" s="31"/>
      <c r="K60" s="31"/>
      <c r="M60" s="31"/>
      <c r="N60" s="31"/>
      <c r="P60" s="32">
        <f>24*30</f>
        <v>720</v>
      </c>
      <c r="Q60" s="33"/>
    </row>
    <row r="61" spans="2:21" s="28" customFormat="1" x14ac:dyDescent="0.25">
      <c r="B61" s="27">
        <v>9903</v>
      </c>
      <c r="C61" s="28" t="s">
        <v>214</v>
      </c>
      <c r="D61" s="29">
        <f>+G61*P61</f>
        <v>4392</v>
      </c>
      <c r="E61" s="27" t="s">
        <v>242</v>
      </c>
      <c r="F61" s="30"/>
      <c r="G61" s="31">
        <v>6.1</v>
      </c>
      <c r="H61" s="31"/>
      <c r="I61" s="31"/>
      <c r="J61" s="31"/>
      <c r="K61" s="31"/>
      <c r="M61" s="31"/>
      <c r="N61" s="31"/>
      <c r="P61" s="32">
        <v>720</v>
      </c>
      <c r="Q61" s="33"/>
    </row>
    <row r="62" spans="2:21" s="28" customFormat="1" x14ac:dyDescent="0.25">
      <c r="B62" s="27">
        <v>5021</v>
      </c>
      <c r="C62" s="28" t="s">
        <v>164</v>
      </c>
      <c r="D62" s="29">
        <f t="shared" si="7"/>
        <v>18950</v>
      </c>
      <c r="E62" s="27" t="s">
        <v>237</v>
      </c>
      <c r="F62" s="30">
        <v>43009</v>
      </c>
      <c r="G62" s="31">
        <v>6.25</v>
      </c>
      <c r="H62" s="31"/>
      <c r="I62" s="31"/>
      <c r="J62" s="31"/>
      <c r="K62" s="31"/>
      <c r="M62" s="31"/>
      <c r="N62" s="31"/>
      <c r="P62" s="32">
        <v>3032</v>
      </c>
      <c r="Q62" s="33">
        <v>5.85</v>
      </c>
      <c r="T62" s="35">
        <v>42379</v>
      </c>
      <c r="U62" s="28" t="s">
        <v>241</v>
      </c>
    </row>
    <row r="63" spans="2:21" s="28" customFormat="1" x14ac:dyDescent="0.25">
      <c r="B63" s="27">
        <v>5021</v>
      </c>
      <c r="C63" s="28" t="s">
        <v>163</v>
      </c>
      <c r="D63" s="29">
        <f t="shared" si="7"/>
        <v>2520</v>
      </c>
      <c r="E63" s="27"/>
      <c r="F63" s="30"/>
      <c r="G63" s="31">
        <v>7</v>
      </c>
      <c r="H63" s="31"/>
      <c r="I63" s="31"/>
      <c r="J63" s="31"/>
      <c r="K63" s="31"/>
      <c r="M63" s="31"/>
      <c r="N63" s="31"/>
      <c r="P63" s="32">
        <v>360</v>
      </c>
      <c r="Q63" s="33">
        <v>6.54</v>
      </c>
    </row>
    <row r="64" spans="2:21" s="28" customFormat="1" x14ac:dyDescent="0.25">
      <c r="B64" s="27">
        <v>5021</v>
      </c>
      <c r="C64" s="28" t="s">
        <v>165</v>
      </c>
      <c r="D64" s="29">
        <f t="shared" si="7"/>
        <v>1865.32</v>
      </c>
      <c r="E64" s="27"/>
      <c r="F64" s="30"/>
      <c r="G64" s="31">
        <v>9.715208333333333</v>
      </c>
      <c r="H64" s="31"/>
      <c r="I64" s="31"/>
      <c r="J64" s="31"/>
      <c r="K64" s="31"/>
      <c r="M64" s="31"/>
      <c r="N64" s="31"/>
      <c r="P64" s="32">
        <v>192</v>
      </c>
      <c r="Q64" s="33">
        <v>8.5</v>
      </c>
    </row>
    <row r="65" spans="2:21" s="28" customFormat="1" x14ac:dyDescent="0.25">
      <c r="B65" s="27">
        <v>5035</v>
      </c>
      <c r="C65" s="28" t="s">
        <v>132</v>
      </c>
      <c r="D65" s="29">
        <f t="shared" si="7"/>
        <v>2012.9999999999998</v>
      </c>
      <c r="E65" s="27"/>
      <c r="F65" s="30">
        <v>43009</v>
      </c>
      <c r="G65" s="31">
        <v>6.1</v>
      </c>
      <c r="H65" s="31"/>
      <c r="I65" s="31"/>
      <c r="J65" s="31"/>
      <c r="K65" s="31"/>
      <c r="M65" s="31"/>
      <c r="N65" s="31"/>
      <c r="P65" s="32">
        <f>11*30</f>
        <v>330</v>
      </c>
      <c r="Q65" s="33">
        <v>5.16</v>
      </c>
      <c r="R65" s="28" t="s">
        <v>237</v>
      </c>
    </row>
    <row r="66" spans="2:21" s="28" customFormat="1" x14ac:dyDescent="0.25">
      <c r="B66" s="27">
        <v>5035</v>
      </c>
      <c r="C66" s="28" t="s">
        <v>133</v>
      </c>
      <c r="D66" s="29">
        <f t="shared" si="7"/>
        <v>2196</v>
      </c>
      <c r="E66" s="27"/>
      <c r="F66" s="30"/>
      <c r="G66" s="31">
        <v>6.1</v>
      </c>
      <c r="H66" s="31"/>
      <c r="I66" s="31"/>
      <c r="J66" s="31"/>
      <c r="K66" s="31"/>
      <c r="M66" s="31"/>
      <c r="N66" s="31"/>
      <c r="P66" s="32">
        <f>12*30</f>
        <v>360</v>
      </c>
      <c r="Q66" s="33"/>
    </row>
    <row r="67" spans="2:21" s="28" customFormat="1" x14ac:dyDescent="0.25">
      <c r="B67" s="27">
        <v>5049</v>
      </c>
      <c r="C67" s="28" t="s">
        <v>192</v>
      </c>
      <c r="D67" s="29">
        <f t="shared" si="7"/>
        <v>5197.5</v>
      </c>
      <c r="E67" s="27"/>
      <c r="F67" s="30">
        <v>43009</v>
      </c>
      <c r="G67" s="31">
        <v>5.25</v>
      </c>
      <c r="H67" s="31"/>
      <c r="I67" s="31"/>
      <c r="J67" s="31"/>
      <c r="K67" s="34"/>
      <c r="M67" s="31"/>
      <c r="N67" s="31"/>
      <c r="P67" s="32">
        <f>33*30</f>
        <v>990</v>
      </c>
      <c r="Q67" s="33">
        <v>4.4000000000000004</v>
      </c>
    </row>
    <row r="68" spans="2:21" s="28" customFormat="1" x14ac:dyDescent="0.25">
      <c r="B68" s="27">
        <v>5049</v>
      </c>
      <c r="C68" s="28" t="s">
        <v>193</v>
      </c>
      <c r="D68" s="29">
        <f>J68*K68</f>
        <v>487.5</v>
      </c>
      <c r="E68" s="27"/>
      <c r="F68" s="30"/>
      <c r="G68" s="31"/>
      <c r="H68" s="31"/>
      <c r="I68" s="31"/>
      <c r="J68" s="31">
        <v>37.5</v>
      </c>
      <c r="K68" s="34">
        <v>13</v>
      </c>
      <c r="M68" s="31"/>
      <c r="N68" s="31"/>
      <c r="P68" s="32"/>
      <c r="Q68" s="33"/>
    </row>
    <row r="69" spans="2:21" s="28" customFormat="1" x14ac:dyDescent="0.25">
      <c r="B69" s="27">
        <v>5055</v>
      </c>
      <c r="C69" s="28" t="s">
        <v>194</v>
      </c>
      <c r="D69" s="29">
        <f>+G69*P69</f>
        <v>866.19999999999993</v>
      </c>
      <c r="E69" s="27" t="s">
        <v>237</v>
      </c>
      <c r="F69" s="30">
        <v>43009</v>
      </c>
      <c r="G69" s="31">
        <v>6.1</v>
      </c>
      <c r="H69" s="31"/>
      <c r="I69" s="31"/>
      <c r="J69" s="31"/>
      <c r="K69" s="34"/>
      <c r="M69" s="31"/>
      <c r="N69" s="31"/>
      <c r="P69" s="32">
        <v>142</v>
      </c>
      <c r="Q69" s="33">
        <v>5.86</v>
      </c>
      <c r="R69" s="28" t="s">
        <v>237</v>
      </c>
      <c r="T69" s="35">
        <v>42376</v>
      </c>
      <c r="U69" s="28" t="s">
        <v>240</v>
      </c>
    </row>
    <row r="70" spans="2:21" s="28" customFormat="1" x14ac:dyDescent="0.25">
      <c r="B70" s="27">
        <v>5056</v>
      </c>
      <c r="C70" s="28" t="s">
        <v>195</v>
      </c>
      <c r="D70" s="29">
        <f>+G70*P70</f>
        <v>866.19999999999993</v>
      </c>
      <c r="E70" s="27"/>
      <c r="F70" s="30"/>
      <c r="G70" s="31">
        <v>6.1</v>
      </c>
      <c r="H70" s="31"/>
      <c r="I70" s="31"/>
      <c r="J70" s="31"/>
      <c r="K70" s="34"/>
      <c r="M70" s="31"/>
      <c r="N70" s="31"/>
      <c r="P70" s="32">
        <v>142</v>
      </c>
      <c r="Q70" s="33"/>
    </row>
    <row r="71" spans="2:21" s="28" customFormat="1" x14ac:dyDescent="0.25">
      <c r="B71" s="27">
        <v>5058</v>
      </c>
      <c r="C71" s="28" t="s">
        <v>167</v>
      </c>
      <c r="D71" s="29">
        <v>104635.79</v>
      </c>
      <c r="E71" s="27" t="s">
        <v>237</v>
      </c>
      <c r="F71" s="30"/>
      <c r="G71" s="31"/>
      <c r="H71" s="31">
        <v>7.57</v>
      </c>
      <c r="I71" s="31"/>
      <c r="J71" s="31"/>
      <c r="K71" s="31"/>
      <c r="M71" s="31"/>
      <c r="N71" s="31"/>
      <c r="P71" s="32"/>
      <c r="Q71" s="33"/>
      <c r="T71" s="28" t="s">
        <v>259</v>
      </c>
      <c r="U71" s="28" t="s">
        <v>260</v>
      </c>
    </row>
    <row r="72" spans="2:21" s="28" customFormat="1" x14ac:dyDescent="0.25">
      <c r="B72" s="27">
        <v>5058</v>
      </c>
      <c r="C72" s="28" t="s">
        <v>168</v>
      </c>
      <c r="D72" s="29">
        <f>6002.79*18</f>
        <v>108050.22</v>
      </c>
      <c r="E72" s="27"/>
      <c r="F72" s="30"/>
      <c r="G72" s="31"/>
      <c r="H72" s="31"/>
      <c r="I72" s="31"/>
      <c r="J72" s="31"/>
      <c r="K72" s="31"/>
      <c r="M72" s="31"/>
      <c r="N72" s="31"/>
      <c r="P72" s="32"/>
      <c r="Q72" s="33"/>
    </row>
    <row r="73" spans="2:21" s="28" customFormat="1" x14ac:dyDescent="0.25">
      <c r="B73" s="27">
        <v>5058</v>
      </c>
      <c r="C73" s="28" t="s">
        <v>169</v>
      </c>
      <c r="D73" s="29">
        <v>11955.63</v>
      </c>
      <c r="E73" s="27"/>
      <c r="F73" s="30"/>
      <c r="G73" s="31"/>
      <c r="H73" s="31"/>
      <c r="I73" s="31"/>
      <c r="J73" s="31"/>
      <c r="K73" s="31"/>
      <c r="M73" s="31"/>
      <c r="N73" s="31"/>
      <c r="P73" s="32"/>
      <c r="Q73" s="33"/>
    </row>
    <row r="74" spans="2:21" s="28" customFormat="1" x14ac:dyDescent="0.25">
      <c r="B74" s="27">
        <v>5075</v>
      </c>
      <c r="C74" s="28" t="s">
        <v>146</v>
      </c>
      <c r="D74" s="29">
        <f>+G74*P74</f>
        <v>4392</v>
      </c>
      <c r="E74" s="27" t="s">
        <v>237</v>
      </c>
      <c r="F74" s="30">
        <v>43009</v>
      </c>
      <c r="G74" s="31">
        <v>6.1</v>
      </c>
      <c r="H74" s="31">
        <v>8</v>
      </c>
      <c r="I74" s="31"/>
      <c r="J74" s="31"/>
      <c r="K74" s="31"/>
      <c r="M74" s="31"/>
      <c r="N74" s="31"/>
      <c r="P74" s="32">
        <f>24*30</f>
        <v>720</v>
      </c>
      <c r="Q74" s="33">
        <v>4.55</v>
      </c>
      <c r="T74" s="35">
        <v>42370</v>
      </c>
      <c r="U74" s="28" t="s">
        <v>240</v>
      </c>
    </row>
    <row r="75" spans="2:21" s="28" customFormat="1" x14ac:dyDescent="0.25">
      <c r="B75" s="27">
        <v>5083</v>
      </c>
      <c r="C75" s="28" t="s">
        <v>148</v>
      </c>
      <c r="D75" s="29">
        <f>+G75*P75</f>
        <v>2196</v>
      </c>
      <c r="E75" s="27" t="s">
        <v>242</v>
      </c>
      <c r="F75" s="30">
        <v>43009</v>
      </c>
      <c r="G75" s="31">
        <v>6.1</v>
      </c>
      <c r="H75" s="31"/>
      <c r="I75" s="31"/>
      <c r="J75" s="31"/>
      <c r="K75" s="31"/>
      <c r="M75" s="31"/>
      <c r="N75" s="31"/>
      <c r="P75" s="32">
        <v>360</v>
      </c>
      <c r="Q75" s="33">
        <v>5.95</v>
      </c>
    </row>
    <row r="76" spans="2:21" s="28" customFormat="1" x14ac:dyDescent="0.25">
      <c r="B76" s="27">
        <v>5090</v>
      </c>
      <c r="C76" s="28" t="s">
        <v>129</v>
      </c>
      <c r="D76" s="29">
        <f>+G76*P76</f>
        <v>4538.3999999999996</v>
      </c>
      <c r="E76" s="27" t="s">
        <v>237</v>
      </c>
      <c r="F76" s="30">
        <v>43009</v>
      </c>
      <c r="G76" s="31">
        <v>6.1</v>
      </c>
      <c r="H76" s="31"/>
      <c r="I76" s="31"/>
      <c r="J76" s="31"/>
      <c r="K76" s="31"/>
      <c r="M76" s="31"/>
      <c r="N76" s="31"/>
      <c r="P76" s="32">
        <f>31*24</f>
        <v>744</v>
      </c>
      <c r="Q76" s="33">
        <v>4.95</v>
      </c>
      <c r="R76" s="28" t="s">
        <v>237</v>
      </c>
    </row>
    <row r="77" spans="2:21" s="28" customFormat="1" x14ac:dyDescent="0.25">
      <c r="B77" s="27">
        <v>5866</v>
      </c>
      <c r="C77" s="28" t="s">
        <v>190</v>
      </c>
      <c r="D77" s="29">
        <f>+G77*P77</f>
        <v>4685.2559999999994</v>
      </c>
      <c r="E77" s="27"/>
      <c r="F77" s="30">
        <v>42979</v>
      </c>
      <c r="G77" s="31">
        <v>5.97</v>
      </c>
      <c r="H77" s="31"/>
      <c r="I77" s="31"/>
      <c r="J77" s="31"/>
      <c r="K77" s="34"/>
      <c r="M77" s="31"/>
      <c r="N77" s="31"/>
      <c r="P77" s="32">
        <v>784.8</v>
      </c>
      <c r="Q77" s="33"/>
    </row>
    <row r="78" spans="2:21" s="28" customFormat="1" x14ac:dyDescent="0.25">
      <c r="B78" s="27">
        <v>5092</v>
      </c>
      <c r="C78" s="28" t="s">
        <v>191</v>
      </c>
      <c r="D78" s="29">
        <f>+G78*P78</f>
        <v>4298.3999999999996</v>
      </c>
      <c r="E78" s="27"/>
      <c r="F78" s="30"/>
      <c r="G78" s="31">
        <v>5.97</v>
      </c>
      <c r="H78" s="31"/>
      <c r="I78" s="31"/>
      <c r="J78" s="31"/>
      <c r="K78" s="34"/>
      <c r="M78" s="31"/>
      <c r="N78" s="31"/>
      <c r="P78" s="32">
        <f>24*30</f>
        <v>720</v>
      </c>
      <c r="Q78" s="33">
        <v>5.89</v>
      </c>
      <c r="T78" s="35">
        <v>42744</v>
      </c>
      <c r="U78" s="28" t="s">
        <v>254</v>
      </c>
    </row>
    <row r="79" spans="2:21" s="28" customFormat="1" x14ac:dyDescent="0.25">
      <c r="B79" s="27">
        <v>5110</v>
      </c>
      <c r="C79" s="28" t="s">
        <v>158</v>
      </c>
      <c r="D79" s="29">
        <v>13412.36</v>
      </c>
      <c r="E79" s="27"/>
      <c r="F79" s="30">
        <v>43009</v>
      </c>
      <c r="G79" s="31">
        <v>7.51</v>
      </c>
      <c r="H79" s="31"/>
      <c r="I79" s="31"/>
      <c r="J79" s="31"/>
      <c r="K79" s="31"/>
      <c r="M79" s="31"/>
      <c r="N79" s="31"/>
      <c r="P79" s="32"/>
      <c r="Q79" s="33"/>
      <c r="T79" s="35">
        <v>43104</v>
      </c>
      <c r="U79" s="28" t="s">
        <v>243</v>
      </c>
    </row>
    <row r="80" spans="2:21" s="28" customFormat="1" x14ac:dyDescent="0.25">
      <c r="B80" s="27">
        <v>5110</v>
      </c>
      <c r="C80" s="28" t="s">
        <v>159</v>
      </c>
      <c r="D80" s="29">
        <v>4501.3999999999996</v>
      </c>
      <c r="E80" s="27"/>
      <c r="F80" s="30"/>
      <c r="G80" s="31">
        <v>7.51</v>
      </c>
      <c r="H80" s="31"/>
      <c r="I80" s="31"/>
      <c r="J80" s="31"/>
      <c r="K80" s="31"/>
      <c r="M80" s="31"/>
      <c r="N80" s="31"/>
      <c r="P80" s="32"/>
      <c r="Q80" s="33"/>
    </row>
    <row r="81" spans="2:21" s="28" customFormat="1" x14ac:dyDescent="0.25">
      <c r="B81" s="27">
        <v>5118</v>
      </c>
      <c r="C81" s="28" t="s">
        <v>180</v>
      </c>
      <c r="D81" s="29">
        <f t="shared" ref="D81:D97" si="8">+G81*P81</f>
        <v>3416</v>
      </c>
      <c r="E81" s="27"/>
      <c r="F81" s="30">
        <v>43009</v>
      </c>
      <c r="G81" s="31">
        <v>6.1</v>
      </c>
      <c r="H81" s="31"/>
      <c r="I81" s="31"/>
      <c r="J81" s="31"/>
      <c r="K81" s="31"/>
      <c r="M81" s="31"/>
      <c r="N81" s="31"/>
      <c r="P81" s="32">
        <v>560</v>
      </c>
      <c r="Q81" s="33">
        <v>4.84</v>
      </c>
    </row>
    <row r="82" spans="2:21" s="28" customFormat="1" x14ac:dyDescent="0.25">
      <c r="B82" s="27">
        <v>5147</v>
      </c>
      <c r="C82" s="28" t="s">
        <v>134</v>
      </c>
      <c r="D82" s="29">
        <f t="shared" si="8"/>
        <v>8784</v>
      </c>
      <c r="E82" s="27" t="s">
        <v>242</v>
      </c>
      <c r="F82" s="30">
        <v>43009</v>
      </c>
      <c r="G82" s="31">
        <v>6.1</v>
      </c>
      <c r="H82" s="31"/>
      <c r="I82" s="31"/>
      <c r="J82" s="31"/>
      <c r="K82" s="31"/>
      <c r="M82" s="31"/>
      <c r="N82" s="31"/>
      <c r="P82" s="32">
        <f>48*30</f>
        <v>1440</v>
      </c>
      <c r="Q82" s="33">
        <v>5.54</v>
      </c>
    </row>
    <row r="83" spans="2:21" s="28" customFormat="1" x14ac:dyDescent="0.25">
      <c r="B83" s="27">
        <v>5147</v>
      </c>
      <c r="C83" s="28" t="s">
        <v>135</v>
      </c>
      <c r="D83" s="29">
        <f t="shared" si="8"/>
        <v>4392</v>
      </c>
      <c r="E83" s="27"/>
      <c r="F83" s="30"/>
      <c r="G83" s="31">
        <v>6.1</v>
      </c>
      <c r="H83" s="31"/>
      <c r="I83" s="31"/>
      <c r="J83" s="31"/>
      <c r="K83" s="31"/>
      <c r="M83" s="31"/>
      <c r="N83" s="31"/>
      <c r="P83" s="32">
        <f>24*30</f>
        <v>720</v>
      </c>
      <c r="Q83" s="33"/>
    </row>
    <row r="84" spans="2:21" s="28" customFormat="1" x14ac:dyDescent="0.25">
      <c r="B84" s="27">
        <v>5147</v>
      </c>
      <c r="C84" s="28" t="s">
        <v>136</v>
      </c>
      <c r="D84" s="29">
        <f t="shared" si="8"/>
        <v>4392</v>
      </c>
      <c r="E84" s="27"/>
      <c r="F84" s="30"/>
      <c r="G84" s="31">
        <v>6.1</v>
      </c>
      <c r="H84" s="31"/>
      <c r="I84" s="31"/>
      <c r="J84" s="31"/>
      <c r="K84" s="31"/>
      <c r="M84" s="31"/>
      <c r="N84" s="31"/>
      <c r="P84" s="32">
        <v>720</v>
      </c>
      <c r="Q84" s="33"/>
    </row>
    <row r="85" spans="2:21" s="28" customFormat="1" x14ac:dyDescent="0.25">
      <c r="B85" s="27">
        <v>5147</v>
      </c>
      <c r="C85" s="28" t="s">
        <v>137</v>
      </c>
      <c r="D85" s="29">
        <f t="shared" si="8"/>
        <v>4392</v>
      </c>
      <c r="E85" s="27"/>
      <c r="F85" s="30"/>
      <c r="G85" s="31">
        <v>6.1</v>
      </c>
      <c r="H85" s="31"/>
      <c r="I85" s="31"/>
      <c r="J85" s="31"/>
      <c r="K85" s="31"/>
      <c r="M85" s="31"/>
      <c r="N85" s="31"/>
      <c r="P85" s="32">
        <v>720</v>
      </c>
      <c r="Q85" s="33"/>
    </row>
    <row r="86" spans="2:21" s="28" customFormat="1" x14ac:dyDescent="0.25">
      <c r="B86" s="27">
        <v>5147</v>
      </c>
      <c r="C86" s="28" t="s">
        <v>138</v>
      </c>
      <c r="D86" s="29">
        <f t="shared" si="8"/>
        <v>4392</v>
      </c>
      <c r="E86" s="27"/>
      <c r="F86" s="30"/>
      <c r="G86" s="31">
        <v>6.1</v>
      </c>
      <c r="H86" s="31"/>
      <c r="I86" s="31"/>
      <c r="J86" s="31"/>
      <c r="K86" s="31"/>
      <c r="M86" s="31"/>
      <c r="N86" s="31"/>
      <c r="P86" s="32">
        <v>720</v>
      </c>
      <c r="Q86" s="33"/>
    </row>
    <row r="87" spans="2:21" s="28" customFormat="1" x14ac:dyDescent="0.25">
      <c r="B87" s="27">
        <v>5147</v>
      </c>
      <c r="C87" s="28" t="s">
        <v>139</v>
      </c>
      <c r="D87" s="29">
        <f t="shared" si="8"/>
        <v>4392</v>
      </c>
      <c r="E87" s="27"/>
      <c r="F87" s="30"/>
      <c r="G87" s="31">
        <v>6.1</v>
      </c>
      <c r="H87" s="31"/>
      <c r="I87" s="31"/>
      <c r="J87" s="31"/>
      <c r="K87" s="31"/>
      <c r="M87" s="31"/>
      <c r="N87" s="31"/>
      <c r="P87" s="32">
        <v>720</v>
      </c>
      <c r="Q87" s="33"/>
    </row>
    <row r="88" spans="2:21" s="28" customFormat="1" x14ac:dyDescent="0.25">
      <c r="B88" s="27">
        <v>5147</v>
      </c>
      <c r="C88" s="28" t="s">
        <v>140</v>
      </c>
      <c r="D88" s="29">
        <f t="shared" si="8"/>
        <v>1980</v>
      </c>
      <c r="E88" s="27"/>
      <c r="F88" s="30"/>
      <c r="G88" s="31">
        <f>6.54/1.09</f>
        <v>6</v>
      </c>
      <c r="H88" s="31"/>
      <c r="I88" s="31"/>
      <c r="J88" s="31"/>
      <c r="K88" s="31"/>
      <c r="M88" s="31"/>
      <c r="N88" s="31"/>
      <c r="P88" s="32">
        <f>11*30</f>
        <v>330</v>
      </c>
      <c r="Q88" s="33"/>
    </row>
    <row r="89" spans="2:21" s="28" customFormat="1" x14ac:dyDescent="0.25">
      <c r="B89" s="27">
        <v>5160</v>
      </c>
      <c r="C89" s="28" t="s">
        <v>185</v>
      </c>
      <c r="D89" s="29">
        <f t="shared" si="8"/>
        <v>7703.9999999999991</v>
      </c>
      <c r="E89" s="27" t="s">
        <v>253</v>
      </c>
      <c r="F89" s="30">
        <v>43009</v>
      </c>
      <c r="G89" s="31">
        <v>5.35</v>
      </c>
      <c r="H89" s="31"/>
      <c r="I89" s="31"/>
      <c r="J89" s="31"/>
      <c r="K89" s="31"/>
      <c r="M89" s="31"/>
      <c r="N89" s="31"/>
      <c r="P89" s="32">
        <v>1440</v>
      </c>
      <c r="Q89" s="33">
        <v>5</v>
      </c>
      <c r="T89" s="35">
        <v>42370</v>
      </c>
      <c r="U89" s="28" t="s">
        <v>258</v>
      </c>
    </row>
    <row r="90" spans="2:21" s="28" customFormat="1" x14ac:dyDescent="0.25">
      <c r="B90" s="27">
        <v>5160</v>
      </c>
      <c r="C90" s="28" t="s">
        <v>186</v>
      </c>
      <c r="D90" s="29">
        <f t="shared" si="8"/>
        <v>7703.9999999999991</v>
      </c>
      <c r="E90" s="27"/>
      <c r="F90" s="30"/>
      <c r="G90" s="31">
        <v>5.35</v>
      </c>
      <c r="H90" s="31"/>
      <c r="I90" s="31"/>
      <c r="J90" s="31"/>
      <c r="K90" s="31"/>
      <c r="M90" s="31"/>
      <c r="N90" s="31"/>
      <c r="P90" s="32">
        <v>1440</v>
      </c>
      <c r="Q90" s="33"/>
    </row>
    <row r="91" spans="2:21" s="28" customFormat="1" x14ac:dyDescent="0.25">
      <c r="B91" s="27">
        <v>5160</v>
      </c>
      <c r="C91" s="28" t="s">
        <v>187</v>
      </c>
      <c r="D91" s="29">
        <f t="shared" si="8"/>
        <v>2279.1</v>
      </c>
      <c r="E91" s="27"/>
      <c r="F91" s="30"/>
      <c r="G91" s="31">
        <v>5.35</v>
      </c>
      <c r="H91" s="31"/>
      <c r="I91" s="31"/>
      <c r="J91" s="31"/>
      <c r="K91" s="31"/>
      <c r="M91" s="31"/>
      <c r="N91" s="31"/>
      <c r="P91" s="32">
        <v>426</v>
      </c>
      <c r="Q91" s="33"/>
    </row>
    <row r="92" spans="2:21" s="28" customFormat="1" x14ac:dyDescent="0.25">
      <c r="B92" s="27">
        <v>5160</v>
      </c>
      <c r="C92" s="28" t="s">
        <v>188</v>
      </c>
      <c r="D92" s="29">
        <f t="shared" si="8"/>
        <v>7703.9999999999991</v>
      </c>
      <c r="E92" s="27"/>
      <c r="F92" s="30"/>
      <c r="G92" s="31">
        <v>5.35</v>
      </c>
      <c r="H92" s="31"/>
      <c r="I92" s="31"/>
      <c r="J92" s="31"/>
      <c r="K92" s="31"/>
      <c r="M92" s="31"/>
      <c r="N92" s="31"/>
      <c r="P92" s="32">
        <v>1440</v>
      </c>
      <c r="Q92" s="33"/>
    </row>
    <row r="93" spans="2:21" s="28" customFormat="1" x14ac:dyDescent="0.25">
      <c r="B93" s="27">
        <v>5175</v>
      </c>
      <c r="C93" s="28" t="s">
        <v>203</v>
      </c>
      <c r="D93" s="29">
        <f t="shared" si="8"/>
        <v>4680</v>
      </c>
      <c r="E93" s="27" t="s">
        <v>237</v>
      </c>
      <c r="F93" s="30"/>
      <c r="G93" s="31">
        <v>6.5</v>
      </c>
      <c r="H93" s="31"/>
      <c r="I93" s="31"/>
      <c r="J93" s="31"/>
      <c r="K93" s="34"/>
      <c r="M93" s="31"/>
      <c r="N93" s="31"/>
      <c r="P93" s="32">
        <f>30*24</f>
        <v>720</v>
      </c>
      <c r="Q93" s="33"/>
      <c r="R93" s="28" t="s">
        <v>237</v>
      </c>
      <c r="T93" s="28" t="s">
        <v>252</v>
      </c>
      <c r="U93" s="28" t="s">
        <v>240</v>
      </c>
    </row>
    <row r="94" spans="2:21" s="28" customFormat="1" x14ac:dyDescent="0.25">
      <c r="B94" s="27">
        <v>5186</v>
      </c>
      <c r="C94" s="28" t="s">
        <v>124</v>
      </c>
      <c r="D94" s="29">
        <f t="shared" si="8"/>
        <v>4392</v>
      </c>
      <c r="E94" s="27" t="s">
        <v>253</v>
      </c>
      <c r="F94" s="30">
        <v>43009</v>
      </c>
      <c r="G94" s="31">
        <v>6.1</v>
      </c>
      <c r="H94" s="31"/>
      <c r="I94" s="31"/>
      <c r="J94" s="31"/>
      <c r="K94" s="31"/>
      <c r="M94" s="31"/>
      <c r="N94" s="31"/>
      <c r="P94" s="32">
        <v>720</v>
      </c>
      <c r="Q94" s="33">
        <v>4.84</v>
      </c>
    </row>
    <row r="95" spans="2:21" s="28" customFormat="1" x14ac:dyDescent="0.25">
      <c r="B95" s="27">
        <v>5186</v>
      </c>
      <c r="C95" s="28" t="s">
        <v>125</v>
      </c>
      <c r="D95" s="29">
        <f t="shared" si="8"/>
        <v>4392</v>
      </c>
      <c r="E95" s="27"/>
      <c r="F95" s="30"/>
      <c r="G95" s="31">
        <v>6.1</v>
      </c>
      <c r="H95" s="31"/>
      <c r="I95" s="31"/>
      <c r="J95" s="31"/>
      <c r="K95" s="31"/>
      <c r="M95" s="31"/>
      <c r="N95" s="31"/>
      <c r="P95" s="32">
        <v>720</v>
      </c>
      <c r="Q95" s="33"/>
    </row>
    <row r="96" spans="2:21" s="28" customFormat="1" x14ac:dyDescent="0.25">
      <c r="B96" s="27">
        <v>5186</v>
      </c>
      <c r="C96" s="28" t="s">
        <v>126</v>
      </c>
      <c r="D96" s="29">
        <f t="shared" si="8"/>
        <v>4392</v>
      </c>
      <c r="E96" s="27"/>
      <c r="F96" s="30"/>
      <c r="G96" s="31">
        <v>6.1</v>
      </c>
      <c r="H96" s="31"/>
      <c r="I96" s="31"/>
      <c r="J96" s="31"/>
      <c r="K96" s="31"/>
      <c r="M96" s="31"/>
      <c r="N96" s="31"/>
      <c r="P96" s="32">
        <v>720</v>
      </c>
      <c r="Q96" s="33"/>
    </row>
    <row r="97" spans="2:21" s="28" customFormat="1" x14ac:dyDescent="0.25">
      <c r="B97" s="27">
        <v>5186</v>
      </c>
      <c r="C97" s="28" t="s">
        <v>127</v>
      </c>
      <c r="D97" s="29">
        <f t="shared" si="8"/>
        <v>1159</v>
      </c>
      <c r="E97" s="27"/>
      <c r="F97" s="30"/>
      <c r="G97" s="31">
        <v>6.1</v>
      </c>
      <c r="H97" s="31"/>
      <c r="I97" s="31"/>
      <c r="J97" s="31"/>
      <c r="K97" s="31"/>
      <c r="M97" s="31"/>
      <c r="N97" s="31"/>
      <c r="P97" s="32">
        <f>19*10</f>
        <v>190</v>
      </c>
      <c r="Q97" s="33"/>
    </row>
    <row r="98" spans="2:21" s="28" customFormat="1" x14ac:dyDescent="0.25">
      <c r="B98" s="27">
        <v>5186</v>
      </c>
      <c r="C98" s="28" t="s">
        <v>128</v>
      </c>
      <c r="D98" s="29">
        <f>H98*P98</f>
        <v>960</v>
      </c>
      <c r="E98" s="27"/>
      <c r="F98" s="30"/>
      <c r="G98" s="31"/>
      <c r="H98" s="31">
        <v>8</v>
      </c>
      <c r="I98" s="31"/>
      <c r="J98" s="31"/>
      <c r="K98" s="31"/>
      <c r="M98" s="31"/>
      <c r="N98" s="31"/>
      <c r="P98" s="32">
        <f>15*8</f>
        <v>120</v>
      </c>
      <c r="Q98" s="33"/>
    </row>
    <row r="99" spans="2:21" s="28" customFormat="1" x14ac:dyDescent="0.25">
      <c r="B99" s="27">
        <v>5231</v>
      </c>
      <c r="C99" s="28" t="s">
        <v>189</v>
      </c>
      <c r="D99" s="29">
        <f>+G99*P99</f>
        <v>6336</v>
      </c>
      <c r="E99" s="27" t="s">
        <v>242</v>
      </c>
      <c r="F99" s="30">
        <v>43009</v>
      </c>
      <c r="G99" s="31">
        <v>5.28</v>
      </c>
      <c r="H99" s="31"/>
      <c r="I99" s="31"/>
      <c r="J99" s="31"/>
      <c r="K99" s="31"/>
      <c r="M99" s="31"/>
      <c r="N99" s="31"/>
      <c r="P99" s="32">
        <f>960+240</f>
        <v>1200</v>
      </c>
      <c r="Q99" s="33">
        <v>5.04</v>
      </c>
    </row>
    <row r="100" spans="2:21" s="28" customFormat="1" x14ac:dyDescent="0.25">
      <c r="B100" s="27">
        <v>5234</v>
      </c>
      <c r="C100" s="28" t="s">
        <v>147</v>
      </c>
      <c r="D100" s="29">
        <f>+G100*P100</f>
        <v>4392</v>
      </c>
      <c r="E100" s="27" t="s">
        <v>242</v>
      </c>
      <c r="F100" s="30">
        <v>43009</v>
      </c>
      <c r="G100" s="31">
        <v>6.1</v>
      </c>
      <c r="H100" s="31"/>
      <c r="I100" s="31"/>
      <c r="J100" s="31"/>
      <c r="K100" s="31"/>
      <c r="M100" s="31"/>
      <c r="N100" s="31"/>
      <c r="P100" s="32">
        <v>720</v>
      </c>
      <c r="Q100" s="33"/>
    </row>
    <row r="101" spans="2:21" s="28" customFormat="1" x14ac:dyDescent="0.25">
      <c r="B101" s="27">
        <v>5236</v>
      </c>
      <c r="C101" s="28" t="s">
        <v>131</v>
      </c>
      <c r="D101" s="29">
        <f>+G101*P101</f>
        <v>11712</v>
      </c>
      <c r="E101" s="27" t="s">
        <v>242</v>
      </c>
      <c r="F101" s="30"/>
      <c r="G101" s="31">
        <v>6.1</v>
      </c>
      <c r="H101" s="31"/>
      <c r="I101" s="31"/>
      <c r="J101" s="31"/>
      <c r="K101" s="31"/>
      <c r="M101" s="31"/>
      <c r="N101" s="31"/>
      <c r="P101" s="32">
        <f>64*30</f>
        <v>1920</v>
      </c>
      <c r="Q101" s="33"/>
    </row>
    <row r="102" spans="2:21" s="28" customFormat="1" x14ac:dyDescent="0.25">
      <c r="B102" s="27">
        <v>5239</v>
      </c>
      <c r="C102" s="28" t="s">
        <v>160</v>
      </c>
      <c r="D102" s="29">
        <f>+G102*P102</f>
        <v>4680</v>
      </c>
      <c r="E102" s="27" t="s">
        <v>237</v>
      </c>
      <c r="F102" s="30">
        <v>43009</v>
      </c>
      <c r="G102" s="31">
        <v>6.5</v>
      </c>
      <c r="H102" s="31"/>
      <c r="I102" s="31"/>
      <c r="J102" s="31"/>
      <c r="K102" s="31"/>
      <c r="M102" s="31"/>
      <c r="N102" s="31"/>
      <c r="P102" s="32">
        <v>720</v>
      </c>
      <c r="Q102" s="33">
        <v>5.1100000000000003</v>
      </c>
      <c r="T102" s="35">
        <v>43102</v>
      </c>
      <c r="U102" s="28" t="s">
        <v>247</v>
      </c>
    </row>
    <row r="103" spans="2:21" s="28" customFormat="1" x14ac:dyDescent="0.25">
      <c r="B103" s="27">
        <v>5239</v>
      </c>
      <c r="C103" s="28" t="s">
        <v>161</v>
      </c>
      <c r="D103" s="29">
        <f>J103*K103</f>
        <v>867.35</v>
      </c>
      <c r="E103" s="27"/>
      <c r="F103" s="30"/>
      <c r="G103" s="31"/>
      <c r="H103" s="31"/>
      <c r="I103" s="31"/>
      <c r="J103" s="31">
        <v>45.65</v>
      </c>
      <c r="K103" s="34">
        <v>19</v>
      </c>
      <c r="M103" s="31"/>
      <c r="N103" s="31"/>
      <c r="P103" s="32"/>
      <c r="Q103" s="33"/>
    </row>
    <row r="104" spans="2:21" s="28" customFormat="1" x14ac:dyDescent="0.25">
      <c r="B104" s="27">
        <v>5239</v>
      </c>
      <c r="C104" s="28" t="s">
        <v>162</v>
      </c>
      <c r="D104" s="29">
        <f t="shared" ref="D104:D137" si="9">+G104*P104</f>
        <v>4680</v>
      </c>
      <c r="E104" s="27"/>
      <c r="F104" s="30"/>
      <c r="G104" s="31">
        <v>6.5</v>
      </c>
      <c r="H104" s="31"/>
      <c r="I104" s="31"/>
      <c r="J104" s="31"/>
      <c r="K104" s="31"/>
      <c r="M104" s="31"/>
      <c r="N104" s="31"/>
      <c r="P104" s="32">
        <v>720</v>
      </c>
      <c r="Q104" s="33"/>
    </row>
    <row r="105" spans="2:21" s="28" customFormat="1" x14ac:dyDescent="0.25">
      <c r="B105" s="27">
        <v>5907</v>
      </c>
      <c r="C105" s="28" t="s">
        <v>149</v>
      </c>
      <c r="D105" s="29">
        <f t="shared" si="9"/>
        <v>4392</v>
      </c>
      <c r="E105" s="27" t="s">
        <v>242</v>
      </c>
      <c r="F105" s="30">
        <v>43009</v>
      </c>
      <c r="G105" s="31">
        <v>6.1</v>
      </c>
      <c r="H105" s="31"/>
      <c r="I105" s="31"/>
      <c r="J105" s="31"/>
      <c r="K105" s="31"/>
      <c r="M105" s="31"/>
      <c r="N105" s="31"/>
      <c r="P105" s="32">
        <v>720</v>
      </c>
      <c r="Q105" s="33">
        <v>4.84</v>
      </c>
    </row>
    <row r="106" spans="2:21" s="28" customFormat="1" x14ac:dyDescent="0.25">
      <c r="B106" s="27">
        <v>5947</v>
      </c>
      <c r="C106" s="28" t="s">
        <v>155</v>
      </c>
      <c r="D106" s="29">
        <f t="shared" si="9"/>
        <v>2562</v>
      </c>
      <c r="E106" s="27" t="s">
        <v>242</v>
      </c>
      <c r="F106" s="30">
        <v>43009</v>
      </c>
      <c r="G106" s="31">
        <v>6.1</v>
      </c>
      <c r="H106" s="31"/>
      <c r="I106" s="31"/>
      <c r="J106" s="31"/>
      <c r="K106" s="31"/>
      <c r="M106" s="31"/>
      <c r="N106" s="31"/>
      <c r="P106" s="32">
        <v>420</v>
      </c>
      <c r="Q106" s="33">
        <v>5.95</v>
      </c>
    </row>
    <row r="107" spans="2:21" s="28" customFormat="1" x14ac:dyDescent="0.25">
      <c r="B107" s="27">
        <v>5950</v>
      </c>
      <c r="C107" s="28" t="s">
        <v>198</v>
      </c>
      <c r="D107" s="29">
        <f t="shared" si="9"/>
        <v>4320</v>
      </c>
      <c r="E107" s="27" t="s">
        <v>237</v>
      </c>
      <c r="F107" s="30"/>
      <c r="G107" s="31">
        <v>6</v>
      </c>
      <c r="H107" s="31"/>
      <c r="I107" s="31"/>
      <c r="J107" s="31"/>
      <c r="K107" s="34"/>
      <c r="M107" s="31"/>
      <c r="N107" s="31"/>
      <c r="P107" s="32">
        <v>720</v>
      </c>
      <c r="Q107" s="33"/>
      <c r="R107" s="39" t="s">
        <v>237</v>
      </c>
      <c r="T107" s="28" t="s">
        <v>256</v>
      </c>
      <c r="U107" s="28" t="s">
        <v>240</v>
      </c>
    </row>
    <row r="108" spans="2:21" s="28" customFormat="1" x14ac:dyDescent="0.25">
      <c r="B108" s="27">
        <v>5990</v>
      </c>
      <c r="C108" s="28" t="s">
        <v>114</v>
      </c>
      <c r="D108" s="29">
        <f t="shared" si="9"/>
        <v>4392</v>
      </c>
      <c r="E108" s="27" t="s">
        <v>237</v>
      </c>
      <c r="F108" s="30">
        <v>43009</v>
      </c>
      <c r="G108" s="31">
        <v>6.1</v>
      </c>
      <c r="H108" s="31"/>
      <c r="I108" s="31"/>
      <c r="J108" s="31"/>
      <c r="K108" s="31"/>
      <c r="M108" s="31"/>
      <c r="N108" s="31"/>
      <c r="P108" s="32">
        <v>720</v>
      </c>
      <c r="Q108" s="33">
        <v>4.6500000000000004</v>
      </c>
      <c r="R108" s="28" t="s">
        <v>237</v>
      </c>
      <c r="T108" s="35">
        <v>43101</v>
      </c>
      <c r="U108" s="28" t="s">
        <v>240</v>
      </c>
    </row>
    <row r="109" spans="2:21" s="28" customFormat="1" x14ac:dyDescent="0.25">
      <c r="B109" s="27">
        <v>9165</v>
      </c>
      <c r="C109" s="28" t="s">
        <v>166</v>
      </c>
      <c r="D109" s="29">
        <f t="shared" si="9"/>
        <v>4500</v>
      </c>
      <c r="E109" s="27" t="s">
        <v>242</v>
      </c>
      <c r="F109" s="30">
        <v>43009</v>
      </c>
      <c r="G109" s="31">
        <v>6.25</v>
      </c>
      <c r="H109" s="31"/>
      <c r="I109" s="31"/>
      <c r="J109" s="31"/>
      <c r="K109" s="31"/>
      <c r="M109" s="31"/>
      <c r="N109" s="31"/>
      <c r="P109" s="32">
        <v>720</v>
      </c>
      <c r="Q109" s="33">
        <v>5.85</v>
      </c>
    </row>
    <row r="110" spans="2:21" s="28" customFormat="1" x14ac:dyDescent="0.25">
      <c r="B110" s="27">
        <v>9205</v>
      </c>
      <c r="C110" s="28" t="s">
        <v>183</v>
      </c>
      <c r="D110" s="29">
        <f t="shared" si="9"/>
        <v>1098</v>
      </c>
      <c r="E110" s="27" t="s">
        <v>242</v>
      </c>
      <c r="F110" s="30">
        <v>43009</v>
      </c>
      <c r="G110" s="31">
        <v>6.1</v>
      </c>
      <c r="H110" s="31"/>
      <c r="I110" s="31"/>
      <c r="J110" s="31"/>
      <c r="K110" s="31"/>
      <c r="M110" s="31"/>
      <c r="N110" s="31"/>
      <c r="P110" s="32">
        <f>18*10</f>
        <v>180</v>
      </c>
      <c r="Q110" s="33">
        <v>5.0999999999999996</v>
      </c>
    </row>
    <row r="111" spans="2:21" s="28" customFormat="1" x14ac:dyDescent="0.25">
      <c r="B111" s="27">
        <v>9242</v>
      </c>
      <c r="C111" s="28" t="s">
        <v>111</v>
      </c>
      <c r="D111" s="29">
        <f t="shared" si="9"/>
        <v>914.84999999999991</v>
      </c>
      <c r="E111" s="27" t="s">
        <v>237</v>
      </c>
      <c r="F111" s="30"/>
      <c r="G111" s="31">
        <v>5.35</v>
      </c>
      <c r="H111" s="31"/>
      <c r="I111" s="31"/>
      <c r="J111" s="31"/>
      <c r="K111" s="31"/>
      <c r="M111" s="31"/>
      <c r="N111" s="31"/>
      <c r="P111" s="32">
        <f>19*9</f>
        <v>171</v>
      </c>
      <c r="Q111" s="33"/>
      <c r="T111" s="35">
        <v>42746</v>
      </c>
      <c r="U111" s="28" t="s">
        <v>251</v>
      </c>
    </row>
    <row r="112" spans="2:21" s="28" customFormat="1" x14ac:dyDescent="0.25">
      <c r="B112" s="27">
        <v>9242</v>
      </c>
      <c r="C112" s="28" t="s">
        <v>111</v>
      </c>
      <c r="D112" s="29">
        <f t="shared" si="9"/>
        <v>4212</v>
      </c>
      <c r="E112" s="27"/>
      <c r="F112" s="30"/>
      <c r="G112" s="31">
        <v>5.85</v>
      </c>
      <c r="H112" s="31"/>
      <c r="I112" s="31"/>
      <c r="J112" s="31"/>
      <c r="K112" s="31"/>
      <c r="M112" s="31"/>
      <c r="N112" s="31"/>
      <c r="P112" s="32">
        <f>24*30</f>
        <v>720</v>
      </c>
      <c r="Q112" s="33"/>
    </row>
    <row r="113" spans="2:21" s="28" customFormat="1" x14ac:dyDescent="0.25">
      <c r="B113" s="27">
        <v>9264</v>
      </c>
      <c r="C113" s="28" t="s">
        <v>201</v>
      </c>
      <c r="D113" s="29">
        <f t="shared" si="9"/>
        <v>2548</v>
      </c>
      <c r="E113" s="27" t="s">
        <v>242</v>
      </c>
      <c r="F113" s="30"/>
      <c r="G113" s="31">
        <v>6.5</v>
      </c>
      <c r="H113" s="31"/>
      <c r="I113" s="31"/>
      <c r="J113" s="31"/>
      <c r="K113" s="34"/>
      <c r="M113" s="31"/>
      <c r="N113" s="31"/>
      <c r="P113" s="32">
        <v>392</v>
      </c>
      <c r="Q113" s="33"/>
    </row>
    <row r="114" spans="2:21" s="28" customFormat="1" x14ac:dyDescent="0.25">
      <c r="B114" s="27">
        <v>9268</v>
      </c>
      <c r="C114" s="28" t="s">
        <v>122</v>
      </c>
      <c r="D114" s="29">
        <f t="shared" si="9"/>
        <v>4874.3999999999996</v>
      </c>
      <c r="E114" s="27" t="s">
        <v>242</v>
      </c>
      <c r="F114" s="30"/>
      <c r="G114" s="31">
        <v>6.77</v>
      </c>
      <c r="H114" s="31"/>
      <c r="I114" s="31"/>
      <c r="J114" s="31"/>
      <c r="K114" s="31"/>
      <c r="M114" s="31"/>
      <c r="N114" s="31"/>
      <c r="P114" s="32">
        <f>30*24</f>
        <v>720</v>
      </c>
      <c r="Q114" s="33"/>
    </row>
    <row r="115" spans="2:21" s="28" customFormat="1" x14ac:dyDescent="0.25">
      <c r="B115" s="27">
        <v>9268</v>
      </c>
      <c r="C115" s="28" t="s">
        <v>123</v>
      </c>
      <c r="D115" s="29">
        <f t="shared" si="9"/>
        <v>4392</v>
      </c>
      <c r="E115" s="27"/>
      <c r="F115" s="30"/>
      <c r="G115" s="31">
        <v>6.1</v>
      </c>
      <c r="H115" s="31"/>
      <c r="I115" s="31"/>
      <c r="J115" s="31"/>
      <c r="K115" s="31"/>
      <c r="M115" s="31"/>
      <c r="N115" s="31"/>
      <c r="P115" s="32">
        <f>30*24</f>
        <v>720</v>
      </c>
      <c r="Q115" s="33"/>
    </row>
    <row r="116" spans="2:21" s="28" customFormat="1" x14ac:dyDescent="0.25">
      <c r="B116" s="27">
        <v>9274</v>
      </c>
      <c r="C116" s="28" t="s">
        <v>178</v>
      </c>
      <c r="D116" s="29">
        <f t="shared" si="9"/>
        <v>1037</v>
      </c>
      <c r="E116" s="27" t="s">
        <v>242</v>
      </c>
      <c r="F116" s="30">
        <v>43009</v>
      </c>
      <c r="G116" s="31">
        <v>6.1</v>
      </c>
      <c r="H116" s="31"/>
      <c r="I116" s="31"/>
      <c r="J116" s="31"/>
      <c r="K116" s="31"/>
      <c r="M116" s="31"/>
      <c r="N116" s="31"/>
      <c r="P116" s="32">
        <v>170</v>
      </c>
      <c r="Q116" s="33">
        <v>4.84</v>
      </c>
    </row>
    <row r="117" spans="2:21" s="28" customFormat="1" x14ac:dyDescent="0.25">
      <c r="B117" s="27">
        <v>9274</v>
      </c>
      <c r="C117" s="28" t="s">
        <v>179</v>
      </c>
      <c r="D117" s="29">
        <f t="shared" si="9"/>
        <v>2379</v>
      </c>
      <c r="E117" s="27"/>
      <c r="F117" s="30"/>
      <c r="G117" s="31">
        <v>6.1</v>
      </c>
      <c r="H117" s="31"/>
      <c r="I117" s="31"/>
      <c r="J117" s="31"/>
      <c r="K117" s="31"/>
      <c r="M117" s="31"/>
      <c r="N117" s="31"/>
      <c r="P117" s="32">
        <f>13*30</f>
        <v>390</v>
      </c>
      <c r="Q117" s="33"/>
    </row>
    <row r="118" spans="2:21" s="28" customFormat="1" x14ac:dyDescent="0.25">
      <c r="B118" s="27">
        <v>9275</v>
      </c>
      <c r="C118" s="28" t="s">
        <v>144</v>
      </c>
      <c r="D118" s="29">
        <f t="shared" si="9"/>
        <v>2196</v>
      </c>
      <c r="E118" s="27" t="s">
        <v>242</v>
      </c>
      <c r="F118" s="30">
        <v>43009</v>
      </c>
      <c r="G118" s="31">
        <v>6.1</v>
      </c>
      <c r="H118" s="31"/>
      <c r="I118" s="31"/>
      <c r="J118" s="31"/>
      <c r="K118" s="31"/>
      <c r="M118" s="31"/>
      <c r="N118" s="31"/>
      <c r="P118" s="32">
        <f>12*30</f>
        <v>360</v>
      </c>
      <c r="Q118" s="33">
        <v>5.95</v>
      </c>
    </row>
    <row r="119" spans="2:21" s="28" customFormat="1" x14ac:dyDescent="0.25">
      <c r="B119" s="27">
        <v>9319</v>
      </c>
      <c r="C119" s="28" t="s">
        <v>181</v>
      </c>
      <c r="D119" s="29">
        <f t="shared" si="9"/>
        <v>2196</v>
      </c>
      <c r="E119" s="27" t="s">
        <v>242</v>
      </c>
      <c r="F119" s="30">
        <v>43009</v>
      </c>
      <c r="G119" s="31">
        <v>6.1</v>
      </c>
      <c r="H119" s="31"/>
      <c r="I119" s="31"/>
      <c r="J119" s="31"/>
      <c r="K119" s="31"/>
      <c r="M119" s="31"/>
      <c r="N119" s="31"/>
      <c r="P119" s="32">
        <f>30*12</f>
        <v>360</v>
      </c>
      <c r="Q119" s="33">
        <v>5.95</v>
      </c>
    </row>
    <row r="120" spans="2:21" s="28" customFormat="1" x14ac:dyDescent="0.25">
      <c r="B120" s="27">
        <v>9331</v>
      </c>
      <c r="C120" s="28" t="s">
        <v>145</v>
      </c>
      <c r="D120" s="29">
        <f t="shared" si="9"/>
        <v>7142.4</v>
      </c>
      <c r="E120" s="27" t="s">
        <v>242</v>
      </c>
      <c r="F120" s="30">
        <v>43009</v>
      </c>
      <c r="G120" s="31">
        <v>4.96</v>
      </c>
      <c r="H120" s="31">
        <v>5.87</v>
      </c>
      <c r="I120" s="31"/>
      <c r="J120" s="31"/>
      <c r="K120" s="31"/>
      <c r="M120" s="31"/>
      <c r="N120" s="31"/>
      <c r="P120" s="32">
        <f>48*30</f>
        <v>1440</v>
      </c>
      <c r="Q120" s="33">
        <v>4.6399999999999997</v>
      </c>
    </row>
    <row r="121" spans="2:21" s="28" customFormat="1" x14ac:dyDescent="0.25">
      <c r="B121" s="27">
        <v>9348</v>
      </c>
      <c r="C121" s="28" t="s">
        <v>112</v>
      </c>
      <c r="D121" s="29">
        <f t="shared" si="9"/>
        <v>4392</v>
      </c>
      <c r="E121" s="27"/>
      <c r="F121" s="30">
        <v>43009</v>
      </c>
      <c r="G121" s="31">
        <v>6.1</v>
      </c>
      <c r="H121" s="31"/>
      <c r="I121" s="31"/>
      <c r="J121" s="31"/>
      <c r="K121" s="31"/>
      <c r="M121" s="31"/>
      <c r="N121" s="31"/>
      <c r="P121" s="32">
        <f>24*30</f>
        <v>720</v>
      </c>
      <c r="Q121" s="33">
        <v>6</v>
      </c>
      <c r="T121" s="35">
        <v>42375</v>
      </c>
      <c r="U121" s="28" t="s">
        <v>240</v>
      </c>
    </row>
    <row r="122" spans="2:21" s="28" customFormat="1" x14ac:dyDescent="0.25">
      <c r="B122" s="27">
        <v>9366</v>
      </c>
      <c r="C122" s="28" t="s">
        <v>200</v>
      </c>
      <c r="D122" s="29">
        <f t="shared" si="9"/>
        <v>4320</v>
      </c>
      <c r="E122" s="27"/>
      <c r="F122" s="30">
        <v>43009</v>
      </c>
      <c r="G122" s="31">
        <v>6</v>
      </c>
      <c r="H122" s="31"/>
      <c r="I122" s="31"/>
      <c r="J122" s="31"/>
      <c r="K122" s="34"/>
      <c r="M122" s="31"/>
      <c r="N122" s="31"/>
      <c r="P122" s="32">
        <v>720</v>
      </c>
      <c r="Q122" s="33"/>
    </row>
    <row r="123" spans="2:21" s="28" customFormat="1" x14ac:dyDescent="0.25">
      <c r="B123" s="27">
        <v>9473</v>
      </c>
      <c r="C123" s="28" t="s">
        <v>141</v>
      </c>
      <c r="D123" s="29">
        <f t="shared" si="9"/>
        <v>5760</v>
      </c>
      <c r="E123" s="27" t="s">
        <v>237</v>
      </c>
      <c r="F123" s="30">
        <v>43191</v>
      </c>
      <c r="G123" s="31">
        <v>8</v>
      </c>
      <c r="H123" s="31"/>
      <c r="I123" s="31"/>
      <c r="J123" s="31"/>
      <c r="K123" s="31"/>
      <c r="M123" s="31"/>
      <c r="N123" s="31"/>
      <c r="P123" s="32">
        <f>24*30</f>
        <v>720</v>
      </c>
      <c r="Q123" s="33">
        <v>6.1</v>
      </c>
      <c r="T123" s="28" t="s">
        <v>250</v>
      </c>
      <c r="U123" s="28" t="s">
        <v>240</v>
      </c>
    </row>
    <row r="124" spans="2:21" s="28" customFormat="1" x14ac:dyDescent="0.25">
      <c r="B124" s="27">
        <v>9473</v>
      </c>
      <c r="C124" s="28" t="s">
        <v>142</v>
      </c>
      <c r="D124" s="29">
        <f t="shared" si="9"/>
        <v>5760</v>
      </c>
      <c r="E124" s="27" t="s">
        <v>237</v>
      </c>
      <c r="F124" s="30"/>
      <c r="G124" s="31">
        <v>8</v>
      </c>
      <c r="H124" s="31"/>
      <c r="I124" s="31"/>
      <c r="J124" s="31"/>
      <c r="K124" s="31"/>
      <c r="M124" s="31"/>
      <c r="N124" s="31"/>
      <c r="P124" s="32">
        <f>24*30</f>
        <v>720</v>
      </c>
      <c r="Q124" s="33"/>
    </row>
    <row r="125" spans="2:21" s="28" customFormat="1" x14ac:dyDescent="0.25">
      <c r="B125" s="27">
        <v>9473</v>
      </c>
      <c r="C125" s="28" t="s">
        <v>143</v>
      </c>
      <c r="D125" s="29">
        <f t="shared" si="9"/>
        <v>5760</v>
      </c>
      <c r="E125" s="27" t="s">
        <v>237</v>
      </c>
      <c r="F125" s="30"/>
      <c r="G125" s="31">
        <v>8</v>
      </c>
      <c r="H125" s="31"/>
      <c r="I125" s="31"/>
      <c r="J125" s="31"/>
      <c r="K125" s="31"/>
      <c r="M125" s="31"/>
      <c r="N125" s="31"/>
      <c r="P125" s="32">
        <v>720</v>
      </c>
      <c r="Q125" s="33"/>
    </row>
    <row r="126" spans="2:21" s="28" customFormat="1" x14ac:dyDescent="0.25">
      <c r="B126" s="27">
        <v>9586</v>
      </c>
      <c r="C126" s="28" t="s">
        <v>184</v>
      </c>
      <c r="D126" s="29">
        <f t="shared" si="9"/>
        <v>1830</v>
      </c>
      <c r="E126" s="27" t="s">
        <v>242</v>
      </c>
      <c r="F126" s="30">
        <v>43009</v>
      </c>
      <c r="G126" s="31">
        <v>6.1</v>
      </c>
      <c r="H126" s="31"/>
      <c r="I126" s="31"/>
      <c r="J126" s="31"/>
      <c r="K126" s="31"/>
      <c r="M126" s="31"/>
      <c r="N126" s="31"/>
      <c r="P126" s="32">
        <f>10*30</f>
        <v>300</v>
      </c>
      <c r="Q126" s="33">
        <v>5.5</v>
      </c>
    </row>
    <row r="127" spans="2:21" s="28" customFormat="1" x14ac:dyDescent="0.25">
      <c r="B127" s="27">
        <v>9832</v>
      </c>
      <c r="C127" s="28" t="s">
        <v>157</v>
      </c>
      <c r="D127" s="29">
        <f t="shared" si="9"/>
        <v>3660</v>
      </c>
      <c r="E127" s="27" t="s">
        <v>242</v>
      </c>
      <c r="F127" s="30">
        <v>43009</v>
      </c>
      <c r="G127" s="31">
        <v>6.1</v>
      </c>
      <c r="H127" s="31"/>
      <c r="I127" s="31"/>
      <c r="J127" s="31"/>
      <c r="K127" s="31"/>
      <c r="M127" s="31"/>
      <c r="N127" s="31"/>
      <c r="P127" s="32">
        <f>20*30</f>
        <v>600</v>
      </c>
      <c r="Q127" s="33">
        <v>4.84</v>
      </c>
    </row>
    <row r="128" spans="2:21" s="28" customFormat="1" x14ac:dyDescent="0.25">
      <c r="B128" s="27">
        <v>9895</v>
      </c>
      <c r="C128" s="28" t="s">
        <v>202</v>
      </c>
      <c r="D128" s="29">
        <f t="shared" si="9"/>
        <v>4392</v>
      </c>
      <c r="E128" s="27" t="s">
        <v>237</v>
      </c>
      <c r="F128" s="30"/>
      <c r="G128" s="31">
        <v>6.1</v>
      </c>
      <c r="H128" s="31"/>
      <c r="I128" s="31"/>
      <c r="J128" s="31"/>
      <c r="K128" s="34"/>
      <c r="M128" s="31"/>
      <c r="N128" s="31"/>
      <c r="P128" s="32">
        <f>24*30</f>
        <v>720</v>
      </c>
      <c r="Q128" s="33"/>
      <c r="T128" s="35">
        <v>42777</v>
      </c>
      <c r="U128" s="28" t="s">
        <v>240</v>
      </c>
    </row>
    <row r="129" spans="2:21" s="28" customFormat="1" x14ac:dyDescent="0.25">
      <c r="B129" s="27">
        <v>9896</v>
      </c>
      <c r="C129" s="28" t="s">
        <v>213</v>
      </c>
      <c r="D129" s="29">
        <f t="shared" si="9"/>
        <v>4392</v>
      </c>
      <c r="E129" s="27" t="s">
        <v>253</v>
      </c>
      <c r="F129" s="30"/>
      <c r="G129" s="31">
        <v>6.1</v>
      </c>
      <c r="H129" s="31"/>
      <c r="I129" s="31"/>
      <c r="J129" s="31"/>
      <c r="K129" s="31"/>
      <c r="M129" s="31"/>
      <c r="N129" s="31"/>
      <c r="P129" s="32">
        <f>24*30</f>
        <v>720</v>
      </c>
      <c r="Q129" s="33"/>
      <c r="T129" s="35">
        <v>43161</v>
      </c>
      <c r="U129" s="28" t="s">
        <v>240</v>
      </c>
    </row>
    <row r="130" spans="2:21" s="28" customFormat="1" x14ac:dyDescent="0.25">
      <c r="B130" s="27">
        <v>9897</v>
      </c>
      <c r="C130" s="28" t="s">
        <v>210</v>
      </c>
      <c r="D130" s="29">
        <f t="shared" si="9"/>
        <v>2640</v>
      </c>
      <c r="E130" s="27" t="s">
        <v>237</v>
      </c>
      <c r="F130" s="30"/>
      <c r="G130" s="31">
        <v>8</v>
      </c>
      <c r="H130" s="31"/>
      <c r="I130" s="31"/>
      <c r="J130" s="31"/>
      <c r="K130" s="31"/>
      <c r="M130" s="31"/>
      <c r="N130" s="31"/>
      <c r="P130" s="32">
        <f>11*30</f>
        <v>330</v>
      </c>
      <c r="Q130" s="33"/>
      <c r="T130" s="35">
        <v>43102</v>
      </c>
      <c r="U130" s="28" t="s">
        <v>240</v>
      </c>
    </row>
    <row r="131" spans="2:21" s="28" customFormat="1" x14ac:dyDescent="0.25">
      <c r="B131" s="27">
        <v>9898</v>
      </c>
      <c r="C131" s="28" t="s">
        <v>211</v>
      </c>
      <c r="D131" s="29">
        <f t="shared" si="9"/>
        <v>3355</v>
      </c>
      <c r="E131" s="27" t="s">
        <v>237</v>
      </c>
      <c r="F131" s="30"/>
      <c r="G131" s="31">
        <v>6.1</v>
      </c>
      <c r="H131" s="31"/>
      <c r="I131" s="31"/>
      <c r="J131" s="31"/>
      <c r="K131" s="31"/>
      <c r="M131" s="31"/>
      <c r="N131" s="31"/>
      <c r="P131" s="32">
        <v>550</v>
      </c>
      <c r="Q131" s="33"/>
      <c r="T131" s="35">
        <v>43313</v>
      </c>
      <c r="U131" s="28" t="s">
        <v>240</v>
      </c>
    </row>
    <row r="132" spans="2:21" s="28" customFormat="1" x14ac:dyDescent="0.25">
      <c r="B132" s="27">
        <v>9900</v>
      </c>
      <c r="C132" s="28" t="s">
        <v>212</v>
      </c>
      <c r="D132" s="29">
        <f t="shared" si="9"/>
        <v>4392</v>
      </c>
      <c r="E132" s="27" t="s">
        <v>253</v>
      </c>
      <c r="F132" s="30"/>
      <c r="G132" s="31">
        <v>6.1</v>
      </c>
      <c r="H132" s="31"/>
      <c r="I132" s="31"/>
      <c r="J132" s="31"/>
      <c r="K132" s="31"/>
      <c r="M132" s="31"/>
      <c r="N132" s="31"/>
      <c r="P132" s="32">
        <v>720</v>
      </c>
      <c r="Q132" s="33"/>
      <c r="T132" s="28" t="s">
        <v>255</v>
      </c>
      <c r="U132" s="28" t="s">
        <v>240</v>
      </c>
    </row>
    <row r="133" spans="2:21" s="28" customFormat="1" x14ac:dyDescent="0.25">
      <c r="B133" s="27">
        <v>9901</v>
      </c>
      <c r="C133" s="28" t="s">
        <v>204</v>
      </c>
      <c r="D133" s="29">
        <f t="shared" si="9"/>
        <v>2880</v>
      </c>
      <c r="E133" s="27" t="s">
        <v>242</v>
      </c>
      <c r="F133" s="30"/>
      <c r="G133" s="31">
        <v>8</v>
      </c>
      <c r="H133" s="31"/>
      <c r="I133" s="31"/>
      <c r="J133" s="31"/>
      <c r="K133" s="34"/>
      <c r="M133" s="31"/>
      <c r="N133" s="31"/>
      <c r="P133" s="32">
        <v>360</v>
      </c>
      <c r="Q133" s="33"/>
    </row>
    <row r="134" spans="2:21" s="28" customFormat="1" x14ac:dyDescent="0.25">
      <c r="B134" s="27">
        <v>9902</v>
      </c>
      <c r="C134" s="28" t="s">
        <v>215</v>
      </c>
      <c r="D134" s="29">
        <f t="shared" si="9"/>
        <v>18942</v>
      </c>
      <c r="E134" s="27" t="s">
        <v>237</v>
      </c>
      <c r="F134" s="30"/>
      <c r="G134" s="31">
        <v>6.15</v>
      </c>
      <c r="H134" s="31"/>
      <c r="I134" s="31"/>
      <c r="J134" s="31"/>
      <c r="K134" s="31"/>
      <c r="M134" s="31"/>
      <c r="N134" s="31"/>
      <c r="P134" s="32">
        <v>3080</v>
      </c>
      <c r="Q134" s="33"/>
      <c r="T134" s="28" t="s">
        <v>248</v>
      </c>
      <c r="U134" s="28" t="s">
        <v>240</v>
      </c>
    </row>
    <row r="135" spans="2:21" s="28" customFormat="1" x14ac:dyDescent="0.25">
      <c r="B135" s="27">
        <v>9904</v>
      </c>
      <c r="C135" s="28" t="s">
        <v>219</v>
      </c>
      <c r="D135" s="29">
        <f t="shared" si="9"/>
        <v>36000</v>
      </c>
      <c r="E135" s="27" t="s">
        <v>237</v>
      </c>
      <c r="F135" s="30"/>
      <c r="G135" s="31">
        <v>15</v>
      </c>
      <c r="H135" s="31"/>
      <c r="I135" s="31"/>
      <c r="J135" s="31"/>
      <c r="K135" s="31"/>
      <c r="M135" s="31"/>
      <c r="N135" s="31"/>
      <c r="P135" s="32">
        <f>80*30</f>
        <v>2400</v>
      </c>
      <c r="Q135" s="33"/>
      <c r="T135" s="35">
        <v>43105</v>
      </c>
      <c r="U135" s="28" t="s">
        <v>249</v>
      </c>
    </row>
    <row r="136" spans="2:21" s="28" customFormat="1" x14ac:dyDescent="0.25">
      <c r="B136" s="27">
        <v>9904</v>
      </c>
      <c r="C136" s="28" t="s">
        <v>220</v>
      </c>
      <c r="D136" s="29">
        <f t="shared" si="9"/>
        <v>11880</v>
      </c>
      <c r="E136" s="27"/>
      <c r="F136" s="30"/>
      <c r="G136" s="31">
        <v>16.5</v>
      </c>
      <c r="H136" s="31"/>
      <c r="I136" s="31"/>
      <c r="J136" s="31"/>
      <c r="K136" s="31"/>
      <c r="M136" s="31"/>
      <c r="N136" s="31"/>
      <c r="P136" s="32">
        <f>24*30</f>
        <v>720</v>
      </c>
      <c r="Q136" s="33"/>
    </row>
    <row r="137" spans="2:21" s="28" customFormat="1" x14ac:dyDescent="0.25">
      <c r="B137" s="27">
        <v>9908</v>
      </c>
      <c r="C137" s="28" t="s">
        <v>222</v>
      </c>
      <c r="D137" s="29">
        <f t="shared" si="9"/>
        <v>1860.0119999999999</v>
      </c>
      <c r="E137" s="27" t="s">
        <v>242</v>
      </c>
      <c r="F137" s="30"/>
      <c r="G137" s="31">
        <v>6.1</v>
      </c>
      <c r="H137" s="31"/>
      <c r="I137" s="31"/>
      <c r="J137" s="31"/>
      <c r="K137" s="31"/>
      <c r="M137" s="31"/>
      <c r="N137" s="31"/>
      <c r="P137" s="32">
        <v>304.92</v>
      </c>
      <c r="Q137" s="33"/>
    </row>
    <row r="138" spans="2:21" s="28" customFormat="1" x14ac:dyDescent="0.25">
      <c r="B138" s="27"/>
      <c r="D138" s="29"/>
      <c r="E138" s="27"/>
      <c r="F138" s="40"/>
      <c r="G138" s="31"/>
      <c r="H138" s="31"/>
      <c r="I138" s="31"/>
      <c r="J138" s="31"/>
      <c r="K138" s="31"/>
      <c r="M138" s="31"/>
      <c r="N138" s="31"/>
      <c r="P138" s="32"/>
    </row>
    <row r="139" spans="2:21" s="11" customFormat="1" x14ac:dyDescent="0.25">
      <c r="B139" s="22"/>
      <c r="D139" s="26"/>
      <c r="E139" s="22"/>
      <c r="F139" s="12"/>
      <c r="G139" s="13"/>
      <c r="H139" s="13"/>
      <c r="I139" s="13"/>
      <c r="J139" s="13"/>
      <c r="K139" s="13"/>
      <c r="M139" s="13"/>
      <c r="N139" s="13"/>
      <c r="P139" s="14"/>
    </row>
    <row r="140" spans="2:21" s="11" customFormat="1" x14ac:dyDescent="0.25">
      <c r="B140" s="22"/>
      <c r="D140" s="26"/>
      <c r="E140" s="22"/>
      <c r="F140" s="36"/>
      <c r="G140" s="13"/>
      <c r="H140" s="13"/>
      <c r="I140" s="13"/>
      <c r="J140" s="13"/>
      <c r="K140" s="13"/>
      <c r="M140" s="13"/>
      <c r="N140" s="13"/>
      <c r="P140" s="14"/>
    </row>
    <row r="141" spans="2:21" s="11" customFormat="1" x14ac:dyDescent="0.25">
      <c r="B141" s="22"/>
      <c r="D141" s="26"/>
      <c r="E141" s="22"/>
      <c r="F141" s="36"/>
      <c r="G141" s="13"/>
      <c r="H141" s="13"/>
      <c r="I141" s="13"/>
      <c r="J141" s="13"/>
      <c r="K141" s="13"/>
      <c r="M141" s="13"/>
      <c r="N141" s="13"/>
      <c r="P141" s="14"/>
    </row>
    <row r="142" spans="2:21" s="11" customFormat="1" x14ac:dyDescent="0.25">
      <c r="B142" s="22"/>
      <c r="D142" s="26"/>
      <c r="E142" s="22"/>
      <c r="F142" s="12"/>
      <c r="G142" s="13"/>
      <c r="H142" s="13"/>
      <c r="I142" s="13"/>
      <c r="J142" s="13"/>
      <c r="K142" s="13"/>
      <c r="M142" s="13"/>
      <c r="N142" s="13"/>
      <c r="P142" s="14"/>
    </row>
    <row r="143" spans="2:21" s="11" customFormat="1" x14ac:dyDescent="0.25">
      <c r="B143" s="22"/>
      <c r="D143" s="26"/>
      <c r="E143" s="22"/>
      <c r="F143" s="12"/>
      <c r="G143" s="13"/>
      <c r="H143" s="13"/>
      <c r="I143" s="13"/>
      <c r="J143" s="13"/>
      <c r="K143" s="13"/>
      <c r="M143" s="13"/>
      <c r="N143" s="13"/>
      <c r="P143" s="14"/>
    </row>
    <row r="144" spans="2:21" s="11" customFormat="1" x14ac:dyDescent="0.25">
      <c r="B144" s="22"/>
      <c r="D144" s="26"/>
      <c r="E144" s="22"/>
      <c r="F144" s="12"/>
      <c r="G144" s="13"/>
      <c r="H144" s="13"/>
      <c r="I144" s="13"/>
      <c r="J144" s="13"/>
      <c r="K144" s="13"/>
      <c r="M144" s="13"/>
      <c r="N144" s="13"/>
      <c r="P144" s="14"/>
    </row>
  </sheetData>
  <sortState ref="B26:P137">
    <sortCondition ref="B26:B137"/>
  </sortState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"/>
  <sheetViews>
    <sheetView workbookViewId="0">
      <pane ySplit="1" topLeftCell="A2" activePane="bottomLeft" state="frozen"/>
      <selection activeCell="C23" sqref="C23"/>
      <selection pane="bottomLeft" activeCell="G2" sqref="G2"/>
    </sheetView>
  </sheetViews>
  <sheetFormatPr defaultRowHeight="15" x14ac:dyDescent="0.25"/>
  <cols>
    <col min="1" max="2" width="15.28515625" customWidth="1"/>
    <col min="3" max="3" width="36.28515625" customWidth="1"/>
    <col min="4" max="4" width="15.42578125" style="5" customWidth="1"/>
    <col min="5" max="5" width="8.42578125" bestFit="1" customWidth="1"/>
    <col min="6" max="6" width="10.85546875" style="6" customWidth="1"/>
    <col min="7" max="12" width="10.85546875" style="7" customWidth="1"/>
    <col min="14" max="14" width="10.85546875" style="7" customWidth="1"/>
  </cols>
  <sheetData>
    <row r="1" spans="1:19" ht="45" x14ac:dyDescent="0.25">
      <c r="A1" s="1" t="s">
        <v>77</v>
      </c>
      <c r="B1" s="1" t="s">
        <v>0</v>
      </c>
      <c r="C1" s="2" t="s">
        <v>1</v>
      </c>
      <c r="D1" s="1" t="s">
        <v>8</v>
      </c>
      <c r="E1" s="1" t="s">
        <v>2</v>
      </c>
      <c r="F1" s="3" t="s">
        <v>3</v>
      </c>
      <c r="G1" s="4" t="s">
        <v>4</v>
      </c>
      <c r="H1" s="4" t="s">
        <v>5</v>
      </c>
      <c r="I1" s="4" t="s">
        <v>82</v>
      </c>
      <c r="J1" s="4" t="s">
        <v>34</v>
      </c>
      <c r="K1" s="4" t="s">
        <v>35</v>
      </c>
      <c r="L1" s="4" t="s">
        <v>75</v>
      </c>
      <c r="M1" s="4" t="s">
        <v>76</v>
      </c>
      <c r="N1" s="4" t="s">
        <v>6</v>
      </c>
      <c r="O1" s="8" t="s">
        <v>10</v>
      </c>
      <c r="P1" s="4" t="s">
        <v>7</v>
      </c>
      <c r="Q1" s="8" t="s">
        <v>83</v>
      </c>
      <c r="R1" s="8" t="s">
        <v>84</v>
      </c>
      <c r="S1" s="8" t="s">
        <v>85</v>
      </c>
    </row>
    <row r="2" spans="1:19" x14ac:dyDescent="0.25">
      <c r="A2" t="s">
        <v>86</v>
      </c>
      <c r="B2">
        <v>5314</v>
      </c>
      <c r="C2" t="s">
        <v>22</v>
      </c>
      <c r="D2" s="5">
        <f>+G2*O2</f>
        <v>3304.7999999999997</v>
      </c>
      <c r="G2" s="7">
        <v>4.59</v>
      </c>
      <c r="O2">
        <v>720</v>
      </c>
    </row>
    <row r="3" spans="1:19" x14ac:dyDescent="0.25">
      <c r="A3" t="s">
        <v>86</v>
      </c>
      <c r="B3">
        <v>6812</v>
      </c>
      <c r="C3" t="s">
        <v>33</v>
      </c>
      <c r="D3" s="5">
        <f>(J3*K3)+(G3*O3)</f>
        <v>6098.4</v>
      </c>
      <c r="G3" s="7">
        <v>5.97</v>
      </c>
      <c r="J3" s="7">
        <v>30</v>
      </c>
      <c r="K3" s="7">
        <v>60</v>
      </c>
      <c r="O3">
        <v>720</v>
      </c>
    </row>
    <row r="4" spans="1:19" x14ac:dyDescent="0.25">
      <c r="A4" t="s">
        <v>86</v>
      </c>
      <c r="B4" s="18">
        <v>5231</v>
      </c>
      <c r="C4" t="s">
        <v>189</v>
      </c>
      <c r="D4" s="5">
        <f>(J4*K4)+(G4*O4)</f>
        <v>3801.6000000000004</v>
      </c>
      <c r="G4" s="7">
        <v>5.28</v>
      </c>
      <c r="L4"/>
      <c r="M4" s="7"/>
      <c r="O4">
        <v>720</v>
      </c>
      <c r="P4" s="10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GFW</vt:lpstr>
      <vt:lpstr>GFS</vt:lpstr>
      <vt:lpstr>GFN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nick.thomson</dc:creator>
  <cp:lastModifiedBy>Ravinesh Deo</cp:lastModifiedBy>
  <dcterms:created xsi:type="dcterms:W3CDTF">2018-09-14T04:03:42Z</dcterms:created>
  <dcterms:modified xsi:type="dcterms:W3CDTF">2018-10-21T19:34:37Z</dcterms:modified>
</cp:coreProperties>
</file>